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595" firstSheet="1" activeTab="1"/>
  </bookViews>
  <sheets>
    <sheet name="Propuesta PRIORIZADA (2)" sheetId="1" state="hidden" r:id="rId1"/>
    <sheet name="Anexo 1PE" sheetId="2" r:id="rId2"/>
  </sheets>
  <definedNames>
    <definedName name="_xlnm._FilterDatabase" localSheetId="1" hidden="1">'Anexo 1PE'!$A$6:$U$23</definedName>
    <definedName name="_xlnm._FilterDatabase" localSheetId="0" hidden="1">'Propuesta PRIORIZADA (2)'!$B$7:$AA$63</definedName>
    <definedName name="_xlnm.Print_Area" localSheetId="1">'Anexo 1PE'!$A$1:$U$39</definedName>
    <definedName name="_xlnm.Print_Area" localSheetId="0">'Propuesta PRIORIZADA (2)'!$B$1:$AA$63</definedName>
    <definedName name="_xlnm.Print_Titles" localSheetId="1">'Anexo 1PE'!$1:$6</definedName>
    <definedName name="_xlnm.Print_Titles" localSheetId="0">'Propuesta PRIORIZADA (2)'!$1:$7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Marlene Ortiz Symor</author>
  </authors>
  <commentList>
    <comment ref="AA37" authorId="0">
      <text>
        <r>
          <rPr>
            <b/>
            <sz val="9"/>
            <rFont val="Tahoma"/>
            <family val="2"/>
          </rPr>
          <t>Marlene Ortiz Symor:</t>
        </r>
        <r>
          <rPr>
            <sz val="9"/>
            <rFont val="Tahoma"/>
            <family val="2"/>
          </rPr>
          <t xml:space="preserve">
aun no se ha observado nada de la s atarjeas
</t>
        </r>
      </text>
    </comment>
  </commentList>
</comments>
</file>

<file path=xl/sharedStrings.xml><?xml version="1.0" encoding="utf-8"?>
<sst xmlns="http://schemas.openxmlformats.org/spreadsheetml/2006/main" count="992" uniqueCount="340">
  <si>
    <t>0021 Ejido El Mezquital</t>
  </si>
  <si>
    <t>No. de obra</t>
  </si>
  <si>
    <t>Dependencia</t>
  </si>
  <si>
    <t>Elementos Programáticos</t>
  </si>
  <si>
    <t>Información de la obra, proyecto o acción</t>
  </si>
  <si>
    <t>SIT</t>
  </si>
  <si>
    <t>ME</t>
  </si>
  <si>
    <t>Metas totales</t>
  </si>
  <si>
    <t>Descripción de los trabajos
(Principales partidas a ejecutar)</t>
  </si>
  <si>
    <t>Nombre la obra</t>
  </si>
  <si>
    <t>Ubicación</t>
  </si>
  <si>
    <t>Del Proyecto</t>
  </si>
  <si>
    <t>Avance físico</t>
  </si>
  <si>
    <t>Ejecutora</t>
  </si>
  <si>
    <t>PG</t>
  </si>
  <si>
    <t>Subprograma</t>
  </si>
  <si>
    <t>Región Indígena</t>
  </si>
  <si>
    <t>Municipio (s)</t>
  </si>
  <si>
    <t>Localidad (es)</t>
  </si>
  <si>
    <t>Suma</t>
  </si>
  <si>
    <t>Estatal</t>
  </si>
  <si>
    <t>Municipal</t>
  </si>
  <si>
    <t>Participantes</t>
  </si>
  <si>
    <t>U. de Medida</t>
  </si>
  <si>
    <t>Cantidad</t>
  </si>
  <si>
    <t>%</t>
  </si>
  <si>
    <t>al 31/12/2010</t>
  </si>
  <si>
    <t>Hombres</t>
  </si>
  <si>
    <t>Mujeres</t>
  </si>
  <si>
    <t>Gobierno del Estado (Secretaria de Obras Públicas, Comunicaciones, Transportes y Asentamientos)</t>
  </si>
  <si>
    <t>UC</t>
  </si>
  <si>
    <t>02a)</t>
  </si>
  <si>
    <t>Modernización y Ampliación</t>
  </si>
  <si>
    <t>Huasteca</t>
  </si>
  <si>
    <t>C</t>
  </si>
  <si>
    <t>Kilómetro</t>
  </si>
  <si>
    <t>Gobierno del Estado (Secretaria de Desarrollo Social)</t>
  </si>
  <si>
    <t>13/02/0006/2008</t>
  </si>
  <si>
    <t>073 Tlanchinol
046 San Felipe Orizatlan
037 Tamazunchale (SLP)</t>
  </si>
  <si>
    <t>0020 Hueyapa
0019 Pueblo Hidalgo
0040 Temango
0037 Santa Lucia
0026 Pahuayo
0004 Ahuatitla
0099 Tianguispicula (SLP)</t>
  </si>
  <si>
    <t>677         562              655        436         287</t>
  </si>
  <si>
    <t>676        548      693       435       298</t>
  </si>
  <si>
    <t>13/02/0008/2008</t>
  </si>
  <si>
    <t>068 Tianguistengo
014 Calnali</t>
  </si>
  <si>
    <t>0001 Tianguistengo
0031 Pemuxco
0024 La Morita
0017 La Esperanza
0040 Tepehuixco
0027 Otlamalacatla
0032 Piedra Ancha
0051 Yatipan
0001 Calnali
0010 Papatlatla</t>
  </si>
  <si>
    <t>053 San Bartolo Tutotepec</t>
  </si>
  <si>
    <t>Construcción</t>
  </si>
  <si>
    <t>IT</t>
  </si>
  <si>
    <t>13/02/0004/2008</t>
  </si>
  <si>
    <t>0001 San Bartolo Tutotepec
0074 Santiago
0079 Tenantitlan
0022 La Cumbre de Muridores</t>
  </si>
  <si>
    <t>1150
238
37
138</t>
  </si>
  <si>
    <t>1234
233
44
128</t>
  </si>
  <si>
    <t>I</t>
  </si>
  <si>
    <t>018 Chapulhuacan</t>
  </si>
  <si>
    <t>UB</t>
  </si>
  <si>
    <t>027 Huehuetla</t>
  </si>
  <si>
    <t>13/02/0005/2008</t>
  </si>
  <si>
    <t>014 Calnali                                  026 Huazalingo</t>
  </si>
  <si>
    <t>0014 Santa Lucia (Mesa de Santa Lucia)
0001 Huazalingo
0025 San Pedro                                                 0052 Nuevo Hidalgo</t>
  </si>
  <si>
    <t>296
315
441
43</t>
  </si>
  <si>
    <t>331
325
434
39</t>
  </si>
  <si>
    <t>SC</t>
  </si>
  <si>
    <t>025 Huautla</t>
  </si>
  <si>
    <t>SD</t>
  </si>
  <si>
    <t xml:space="preserve">Otomí de Hidalgo - Querétaro </t>
  </si>
  <si>
    <t>030 Ixmiquilpan</t>
  </si>
  <si>
    <t>0003 San Lorenzo Achiotepec
0007 El Borbollón</t>
  </si>
  <si>
    <t>Modernización y ampliación</t>
  </si>
  <si>
    <t>0018 Chalingo
0050 Tzacuala</t>
  </si>
  <si>
    <t>0014 El Cojolite</t>
  </si>
  <si>
    <t>015 Cardonal</t>
  </si>
  <si>
    <t>028 Huejutla de Reyes</t>
  </si>
  <si>
    <t>0064 Los Otates
0078 Rancho Viejo
0055 Humotitla Coyuco</t>
  </si>
  <si>
    <t>030 Ixmiquilpan
058 Tasquillo</t>
  </si>
  <si>
    <t>006 Alfajayucan</t>
  </si>
  <si>
    <t>0068 La Nopalera Naxthey</t>
  </si>
  <si>
    <t>Otomí de Hidalgo y Queretaro</t>
  </si>
  <si>
    <t>0004 El Dadho</t>
  </si>
  <si>
    <t>019 Chilcuautla</t>
  </si>
  <si>
    <t>Sierra Norte de Puebla y Totonacapan</t>
  </si>
  <si>
    <t>002 Acaxochitlan</t>
  </si>
  <si>
    <t>T</t>
  </si>
  <si>
    <t>0047 Vista Hermosa</t>
  </si>
  <si>
    <t>034 Lolotla</t>
  </si>
  <si>
    <t>0032 Xalcuatla
0014 Chantasco</t>
  </si>
  <si>
    <t>0011 Santa Ana Batha</t>
  </si>
  <si>
    <t>055 Santiago de Anaya</t>
  </si>
  <si>
    <t>0004 Cerritos</t>
  </si>
  <si>
    <t>0002 El Águila</t>
  </si>
  <si>
    <t>0006 González González</t>
  </si>
  <si>
    <t>046 San Felipe Orizatlan</t>
  </si>
  <si>
    <t>AD</t>
  </si>
  <si>
    <t>SG</t>
  </si>
  <si>
    <t>0007 Los Reyes</t>
  </si>
  <si>
    <t>059 Tecozautla</t>
  </si>
  <si>
    <t>0002 El Ahorcado</t>
  </si>
  <si>
    <t>011 Atlapexco</t>
  </si>
  <si>
    <t xml:space="preserve">Beneficiarios </t>
  </si>
  <si>
    <t>0008 Huitexcalco de Morelos</t>
  </si>
  <si>
    <t>449
403
102</t>
  </si>
  <si>
    <t>444
391
114</t>
  </si>
  <si>
    <t>295
308</t>
  </si>
  <si>
    <t>361
308</t>
  </si>
  <si>
    <t>799
32</t>
  </si>
  <si>
    <t>903
43</t>
  </si>
  <si>
    <t>1737
655</t>
  </si>
  <si>
    <t>1891
693</t>
  </si>
  <si>
    <t>0008 Capula
0120 La Presa
0139 El Rosario</t>
  </si>
  <si>
    <t>152
62
56</t>
  </si>
  <si>
    <t>176
66
59</t>
  </si>
  <si>
    <t>0032 Xalcuatla</t>
  </si>
  <si>
    <t>0002 Achiquihuixtla</t>
  </si>
  <si>
    <t>395
385</t>
  </si>
  <si>
    <t>353
358</t>
  </si>
  <si>
    <t>196
56</t>
  </si>
  <si>
    <t>218
66</t>
  </si>
  <si>
    <t>230
189
206
348
3198</t>
  </si>
  <si>
    <t>205
176
221
339
3386</t>
  </si>
  <si>
    <t>122
86
46</t>
  </si>
  <si>
    <t>100
87
54</t>
  </si>
  <si>
    <t>113
177
121
61</t>
  </si>
  <si>
    <t>117
178
134
55</t>
  </si>
  <si>
    <t>13/01/0023/2007</t>
  </si>
  <si>
    <t>13/01/0005/2008</t>
  </si>
  <si>
    <t>13/02/0005/2010</t>
  </si>
  <si>
    <t>13/01/0006/2008</t>
  </si>
  <si>
    <t>13/02/0004/2010</t>
  </si>
  <si>
    <t>13/02/0003/2010</t>
  </si>
  <si>
    <t>13/02/0009/2009</t>
  </si>
  <si>
    <t>03)</t>
  </si>
  <si>
    <t>13/02/0001/2010</t>
  </si>
  <si>
    <t>Estructura Financiera 2011 (Pesos)</t>
  </si>
  <si>
    <t>369
79
955
114</t>
  </si>
  <si>
    <t>354
79
928
109</t>
  </si>
  <si>
    <t>Sistema</t>
  </si>
  <si>
    <t>Por realizar en 2011</t>
  </si>
  <si>
    <t>al 31/12/2011</t>
  </si>
  <si>
    <t>13/01/000049/2004</t>
  </si>
  <si>
    <t>Poste</t>
  </si>
  <si>
    <t>0033 Xuchipantla</t>
  </si>
  <si>
    <t>03</t>
  </si>
  <si>
    <t xml:space="preserve">655
155
84
61
11
35
10
210
1690
1303       </t>
  </si>
  <si>
    <t xml:space="preserve">812
168
96
60
14
37
8
212
1922 
1276  </t>
  </si>
  <si>
    <t>0013 La Florida (Emilio Hernández)</t>
  </si>
  <si>
    <t>073 Tlanchinol
046 San Felipe Orizatlan</t>
  </si>
  <si>
    <t>0040 Temango
0004 Ahuatitla</t>
  </si>
  <si>
    <t>0029 Xilitla
0003 Acoyotla
0026 Texopich</t>
  </si>
  <si>
    <t>062 Tepehuacán de Guerrero
037 Tamazunchale (SLP)</t>
  </si>
  <si>
    <t>0010 Cuatolol
0013 Chilijapa
0018 Petlapixca
0025 Texcapa
0027 Teyahuala
0030 Zacualtipanito
0162 Tlalocuil (SLP)</t>
  </si>
  <si>
    <t>818
410
434
926
320
727
70</t>
  </si>
  <si>
    <t>788
414
397
873
264
671
74</t>
  </si>
  <si>
    <t>0034 San Antonio el Grande</t>
  </si>
  <si>
    <t>02b)</t>
  </si>
  <si>
    <t>Ampliación</t>
  </si>
  <si>
    <t>0020 Cerro del Corazón (El Muí)</t>
  </si>
  <si>
    <t>0023 Huextetitla
0147 Huextetitla Bienes Comunales
0123  Tepetzintla II</t>
  </si>
  <si>
    <t>0101 Tetzácual
0102 Los Humos
0103 Santa Rosa Tetlama
0124 Tetlama Grande</t>
  </si>
  <si>
    <t>139
328
853
216</t>
  </si>
  <si>
    <t>132
362
859
227</t>
  </si>
  <si>
    <t>0039 Puerto Dexthi
0041 San Miguel</t>
  </si>
  <si>
    <r>
      <t xml:space="preserve">- </t>
    </r>
    <r>
      <rPr>
        <sz val="10"/>
        <rFont val="Arial"/>
        <family val="2"/>
      </rPr>
      <t>Obra de captación (Perforación exploratoria de pozo)</t>
    </r>
  </si>
  <si>
    <t>- Red de atarjeas
- Subcolectores
- Emisor
- Descargas domiciliarias
- Planta de tratamiento
- Obra de vertido
- Sanitarios ecológicos</t>
  </si>
  <si>
    <t>- Red de atarjeas
- Colector
- Descargas domiciliarias
- Sanitarios ecológicos</t>
  </si>
  <si>
    <t>- Obra de captación (Perforación exploratoria de pozo)</t>
  </si>
  <si>
    <t>- Red de atarjeas
- Subcolector
- Emisor
- Descargas domiciliarias
- Tratamiento
- Obra de vertido
- Sanitarios ecológicos</t>
  </si>
  <si>
    <t>Comisión Federal de Electricidad (CFE)</t>
  </si>
  <si>
    <t>13/02/00xx/2011</t>
  </si>
  <si>
    <r>
      <t xml:space="preserve">0001 San Felipe Orizatlan
Col. Hidalgo Unido,
Col. Magisterial
0003 Ahuatempa
0064 Totonicapa
0155 Bella Vista
0075 El Llano
0070 Zacayahual
0051 Santa Ana
0028 La Labor I
0138 Valle Verde
</t>
    </r>
  </si>
  <si>
    <t>0044 Tetlalpan</t>
  </si>
  <si>
    <t>- Red de atarjeas
- Descargas domiciliarias
- Planta de tratamiento
- Obra de vertido</t>
  </si>
  <si>
    <t>080 Yahualica</t>
  </si>
  <si>
    <t>0005 Atlalco</t>
  </si>
  <si>
    <t xml:space="preserve">Otomí de Hidalgo-Querétaro </t>
  </si>
  <si>
    <t>058 Tasquillo</t>
  </si>
  <si>
    <t>0015 El Motho</t>
  </si>
  <si>
    <t>OBRAS DE CONTINUIDAD que se terminan en 2011</t>
  </si>
  <si>
    <t>OBRAS NUEVAS que se terminan en 2011</t>
  </si>
  <si>
    <t>OBRAS NUEVAS que NO se terminan en 2011</t>
  </si>
  <si>
    <t>G R A N  T O T A L</t>
  </si>
  <si>
    <r>
      <rPr>
        <sz val="10"/>
        <color indexed="10"/>
        <rFont val="Arial"/>
        <family val="2"/>
      </rPr>
      <t xml:space="preserve">- Obra de captación </t>
    </r>
    <r>
      <rPr>
        <sz val="10"/>
        <rFont val="Arial"/>
        <family val="2"/>
      </rPr>
      <t>(Equipamiento electromecánico de pozo)
- Línea de conducción
- Red de distribución
- Tanque de regularización
- Tomas domiciliarias
- Sistema de potabilización</t>
    </r>
  </si>
  <si>
    <t>- Tratamiento (Planta de Tratamiento de Aguas Residuales)</t>
  </si>
  <si>
    <t>Modernización y ampliación del camino San Bartolo Tutotepec-Santiago-Tenantitlan-La Cumbre de Muridores, Tramo: del km. 0+000 al km. 30+000, subtramo a modernizar del km. 8+500 al km. 11+500</t>
  </si>
  <si>
    <t>Modernización y ampliación de camino Tlanchinol-Tianguispicula (Limites entre los Estados de Hidalgo y San Luis Potosí), Tramo: del km 0+000 al km 33+208.29, subtramo a modernizar: Tlanchinol-Hueyapa del km. 6+000 al km 8+000</t>
  </si>
  <si>
    <t>Modernización y ampliación del camino E.C. km. 7+000 (Tepehuacan de Guerrero-San Juan Ahuehueco)-Chilijapa-Teyahuala- Texcapa-Cuatolol-Zaculatipanito-Petlapixca-Tlalocuil (SLP), Tramo: del km. 0+000 al km. 38+000, Subtramo del km 9+000 al km 11+180</t>
  </si>
  <si>
    <t>Construcción del sistema de agua potable, para beneficiar a la localidad de Vista Hermosa, en el municipio de Huehuetla</t>
  </si>
  <si>
    <t>Modernización y ampliación del camino E.C. (Chilijapa-Cuatolol)-Xilitla-Acoyotla-Texopich, Tramo: del km. 0+000 al km. 25+000, subtramo a modernizar del km. 1+000 al km. 3+000</t>
  </si>
  <si>
    <t>Construcción del sistema de agua potable, para beneficiar a la localidad de San Antonio el Grande, en el municipio de Huehuetla</t>
  </si>
  <si>
    <t>Construcción del sistema de alcantarillado sanitario y planta de tratamiento, para beneficiar a la localidad de El Dadho, en el municipio de Chilcuautla</t>
  </si>
  <si>
    <t>- Red de atarjeas
- Colector
- Planta de tratamiento
- Obra de vertido
- Descargas domiciliarias</t>
  </si>
  <si>
    <t>Construcción del sistema de alcantarillado sanitario y planta de tratamiento, para beneficiar a la localidad de Xalcuatla, en el municipio de Lolotla</t>
  </si>
  <si>
    <t>Construcción de sistema de alcantarillado sanitario y planta de tratamiento, para beneficiar a la localidad de Tetlalpan, en el municipio de Chapulhuacan</t>
  </si>
  <si>
    <t>06</t>
  </si>
  <si>
    <t>Estudios y Proyecto</t>
  </si>
  <si>
    <t>Proyecto</t>
  </si>
  <si>
    <t>Construcción del sistema de agua potable (1er Etapa, consistente en la perforación exploratoria de pozo), para beneficiar a la localidad de El Ahorcado, en el municipio de Tecozautla</t>
  </si>
  <si>
    <r>
      <t>Construcción de sistema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de agua potable (1er Etapa, consistente en la perforación exploratoria de pozo), para beneficiar a la localidad de Cerro del Corazón (El Muí), en el municipio de Chilcuautla</t>
    </r>
  </si>
  <si>
    <t>Modernización y ampliación del camino Capula-La Presa-El Rosario, tramo: del km. 0+000 al km. 3+933.92, subtramo a modernizar del km. 0+000 al km.  1+133.92</t>
  </si>
  <si>
    <t>Modernización y ampliación del camino E.C. km 6+100 (Atlapexco-Calnali)-Achiquihuixtla, tramo: del km. 0+000 al km. 3+500, subtramo a modernizar del km. 0+000 al km. 2+620</t>
  </si>
  <si>
    <t>Modernización y ampliación del camino Tianguispicula (S.L.P.)- Xuchipantla, tramo del km. 0+000 al km. 3+500, subtramo a  modernizar del km. 0+000 al km. 1+140</t>
  </si>
  <si>
    <t>MODALIDAD DE PROYECTOS ESTRÁTEGICOS</t>
  </si>
  <si>
    <t>Construcción del sistema de agua potable (2da Etapa), para beneficiar a la localidad de Los Reyes, en el municipio de Acaxochitlan</t>
  </si>
  <si>
    <r>
      <t>Construcción del camino rural San Lorenzo Achiotepec-El Borbollon, Tramo: del km 0+000 al km 7+026.85, subtramo a construir: del km 1+000 al km 5+000</t>
    </r>
  </si>
  <si>
    <t>Modernización y ampliación de camino E.C. km. 8+500 (Calnali-Santa Lucia)-Huazalingo, Tramo: del km 0+000 al km 15+000, subtramo a modernizar: del km 9+000 al km 12+000</t>
  </si>
  <si>
    <t>Construcción del sistema de alcantarillado sanitario, para beneficiar a la localidad de La Nopalera Naxthey, en el municipio de Alfajayucan</t>
  </si>
  <si>
    <r>
      <t xml:space="preserve">Ampliación de </t>
    </r>
    <r>
      <rPr>
        <sz val="10"/>
        <rFont val="Arial"/>
        <family val="2"/>
      </rPr>
      <t>la línea y red de distribución de energía eléctrica, para beneficiar a la localidad de González González, en el municipio de Santiago de Anaya</t>
    </r>
  </si>
  <si>
    <r>
      <t xml:space="preserve">Ampliación de </t>
    </r>
    <r>
      <rPr>
        <sz val="10"/>
        <rFont val="Arial"/>
        <family val="2"/>
      </rPr>
      <t>la línea y red de distribución de energía eléctrica, para beneficiar a la localidad de Ejido El Mezquital, en el municipio de Santiago de Anaya</t>
    </r>
  </si>
  <si>
    <t>0017 Portezuelo
0032 El Durazno</t>
  </si>
  <si>
    <t>740
54</t>
  </si>
  <si>
    <t>850
49</t>
  </si>
  <si>
    <t>13/01/0011/2007</t>
  </si>
  <si>
    <t>055 Santiago de Anaya
037 Metztitlán</t>
  </si>
  <si>
    <t>0005 El Encino
0015 Fontezuelas</t>
  </si>
  <si>
    <t>142
426</t>
  </si>
  <si>
    <t>134
537</t>
  </si>
  <si>
    <t>13/01/0012/2007</t>
  </si>
  <si>
    <t>Modernización y ampliación del camino El Encino-Fontezuelas, Tramo: del km 0+000 al km 13+500, subtramo a modernizar: del km 11+000 al km 13+500</t>
  </si>
  <si>
    <t>014 Calnali
080 Yahualica</t>
  </si>
  <si>
    <t>588           349         296
788</t>
  </si>
  <si>
    <t>661        382       331
988</t>
  </si>
  <si>
    <t>Otomí de Hidalgo y Querétaro</t>
  </si>
  <si>
    <t>- Terracerías
- Obras de Drenaje
- Pavimento
- Obras Complementarias
- Señalamiento</t>
  </si>
  <si>
    <t>- Terracerías
- Obras de drenaje
- Revestimiento
- Señalamiento vertical</t>
  </si>
  <si>
    <t>062 Tepehuacan de Guerrero</t>
  </si>
  <si>
    <t>0009 San Andrés Chichayotla
0007 Coyula
0014 Santa Lucia
0011 Mecatlan</t>
  </si>
  <si>
    <t>- Obra de captación
- Línea de conducción
- Red de distribución
- Tanque de regularización
- Tomas domiciliarias
- Sistema de potabilización</t>
  </si>
  <si>
    <t>- Línea de conducción
- Red de distribución
- Tanque de regularización
- Tomas domiciliarias
- Equipo de cloración</t>
  </si>
  <si>
    <t>Construcción del sistema de alcantarillado sanitario y planta de tratamiento, para beneficiar a las localidades de Huextetitla, Huextetitla Bienes Comunales y Tepetzintla II, en el municipio de San Felipe Orizatlan</t>
  </si>
  <si>
    <t>Construcción del sistema de alcantarillado sanitario y planta de tratamiento, para beneficiar a las localidades de Tetzácual, Los Humos, Tetlama Grande y Santa Rosa Tetlama, en el municipio de San Felipe Orizatlan</t>
  </si>
  <si>
    <r>
      <t xml:space="preserve">Ampliación de la </t>
    </r>
    <r>
      <rPr>
        <sz val="10"/>
        <rFont val="Arial"/>
        <family val="2"/>
      </rPr>
      <t>línea y red de distribución de energía eléctrica, para beneficiar los sectores Camino a Guerrero, Camino a Lagunilla, Limites Santiago Lagunilla, Camino al Panteón, Col. 3 de Mayo y Barrio La Loma de la localidad de Cerritos, en el municipio de Santiago de Anaya</t>
    </r>
  </si>
  <si>
    <t>- Línea de distribución
- Red de distribución
- Acometidas domiciliarias</t>
  </si>
  <si>
    <r>
      <t xml:space="preserve">Ampliación de </t>
    </r>
    <r>
      <rPr>
        <sz val="10"/>
        <rFont val="Arial"/>
        <family val="2"/>
      </rPr>
      <t>la línea y red de distribución de energía eléctrica, para beneficiar a la localidad de El Águila, en el municipio de Santiago de Anaya</t>
    </r>
  </si>
  <si>
    <t>- Colector
- Subcolector
- Red de atarjeas
- Descargas domiciliarias
- Tratamiento</t>
  </si>
  <si>
    <t>0008 Capúla
0120 La Presa
0139 El Rosario</t>
  </si>
  <si>
    <t>0004 Atlalco
0009 Cochiscuatitla
0010 Cochotla
0037 Tlachapa</t>
  </si>
  <si>
    <t>Periodo de ejecución en días</t>
  </si>
  <si>
    <r>
      <t xml:space="preserve">13/02/0006/2008
</t>
    </r>
    <r>
      <rPr>
        <sz val="10"/>
        <color indexed="10"/>
        <rFont val="Arial"/>
        <family val="2"/>
      </rPr>
      <t>13/01/0009/2008</t>
    </r>
  </si>
  <si>
    <r>
      <t xml:space="preserve">Modernización y ampliación de camino El Calvario - El Motho, tramo: del km. 0+000 al 4+000, subtramo a modernizar del km. 0+000 al km. 3+240=3+560 al km. 4+000 
</t>
    </r>
    <r>
      <rPr>
        <sz val="10"/>
        <color indexed="10"/>
        <rFont val="Arial"/>
        <family val="2"/>
      </rPr>
      <t xml:space="preserve">Sandra( el calvario no es una comunidad, es una colonia de la ciudad de Tasquillo, por lo que la obra se deberia de llamar Tasquillo -  El Mothho, ademas se debe cuidar que el camino no caiga dentro de la zona Urbanizada.)
</t>
    </r>
    <r>
      <rPr>
        <b/>
        <sz val="10"/>
        <color indexed="62"/>
        <rFont val="Arial"/>
        <family val="2"/>
      </rPr>
      <t>R= Se denomina El Calvario - El Motho, poerque es de donde físicamente inicia el camino con el km. 0+000, pero si se determina cambiar el nombre no vemos ningun problema.</t>
    </r>
  </si>
  <si>
    <t>- Estudio preliminar
- Proyecto definitivo
- Manifestación de Impacto Ambiental
- Cambio de Uso de Suelo
- Estudio Geológico y Mecanica de Suelos</t>
  </si>
  <si>
    <t>- Estudios hidraulicos
- Estudio de cimentación
- Proyecto constructivo</t>
  </si>
  <si>
    <t>Modernización y ampliación del camino Tianguistengo-Papatlata (Calnali), Tramo: del km 0+000 al km 39+000, subtramo a modernizar: del km 12+000 al km 14+000</t>
  </si>
  <si>
    <r>
      <t xml:space="preserve">Construcción del sistema de alcantarillado sanitario y planta de tratamiento (2da Etapa), para beneficiar a la localidad de Huitexcalco de Morelos, en el municipio de Chilcuautla
</t>
    </r>
    <r>
      <rPr>
        <sz val="10"/>
        <color indexed="10"/>
        <rFont val="Arial"/>
        <family val="2"/>
      </rPr>
      <t xml:space="preserve">
</t>
    </r>
  </si>
  <si>
    <r>
      <t xml:space="preserve">Construcción del sistema de alcantarillado sanitario y planta de tratamiento (2da Etapa), para beneficiar a la localidad de Santa Ana Batha, en el municipio de Chilcuautla
</t>
    </r>
  </si>
  <si>
    <r>
      <t xml:space="preserve">Modernización y ampliación del camino Los Otates-Humotitla Coyuco, Tramo: del km 0+000 al km 8+112.62, subtramo a modernizar: del km 6+280 al km 8+112.62
</t>
    </r>
  </si>
  <si>
    <r>
      <t xml:space="preserve">Construcción del sistema integral de alcantarillado sanitario (2a Etapa), para beneficiar a las localidades de: San Felipe Orizatlan (Colonia Hidalgo Unido y Magisterial), Ahuatempa, Totonicapa, Bella Vista, El Llano, Zacayahual, Santa Ana, La Labor I y Valle Verde
</t>
    </r>
    <r>
      <rPr>
        <sz val="10"/>
        <color indexed="12"/>
        <rFont val="Arial"/>
        <family val="2"/>
      </rPr>
      <t xml:space="preserve">
</t>
    </r>
  </si>
  <si>
    <r>
      <t xml:space="preserve">Modernización y ampliación de E.C.  km 2+200 (San Andrés Daboxtha-Pozuelos)-La Florida (Emilio Hernández), Tramo: del km 0+000 al km 10+450, subtramo del km. 5+350 al km 8+350
</t>
    </r>
  </si>
  <si>
    <r>
      <t xml:space="preserve">Elaboración de los estudios y proyectos para la Modernización y ampliación del camino Capúla-La Presa-El Rosario, tramo: del km. 1+133.92 al km. 3+933.92
</t>
    </r>
  </si>
  <si>
    <r>
      <t>Modernización y ampliación del camino Huautla-El Cojolite, tramo del km. 0+000 al km 4+513.072, subtramo a modernizar del km.  0+000 al km. 4+513.072</t>
    </r>
    <r>
      <rPr>
        <sz val="10"/>
        <color indexed="62"/>
        <rFont val="Arial"/>
        <family val="2"/>
      </rPr>
      <t xml:space="preserve">
</t>
    </r>
  </si>
  <si>
    <r>
      <t>Modernización y ampliación de camino E.C.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km 5+700 (Atlapexco-Calnali)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Tlachapa-Atlajco-Cochiscuatitla-Cochotla, Tramo: del km 0+000 al km 8+000, subtramo a modernizar del km 0+000 al km 3+000</t>
    </r>
    <r>
      <rPr>
        <sz val="10"/>
        <color indexed="10"/>
        <rFont val="Arial"/>
        <family val="2"/>
      </rPr>
      <t xml:space="preserve">  
</t>
    </r>
  </si>
  <si>
    <t>OBRAS DE CONTINUIDAD que se terminan en 2011-2012</t>
  </si>
  <si>
    <t>OBRAS DE CONTINUIDAD que NO se terminan al 2012</t>
  </si>
  <si>
    <t>Modernización y ampliación del camino Puerto Dexthi-San Miguel, tramo del km. 0+000 al km. 4+531, subtramo a modernizar del km. 0+000 al km. 2+000</t>
  </si>
  <si>
    <t>Modernización y ampliación de camino Tlanchinol-Tianguispicula (Limites entre los Estados de Hidalgo y San Luis Potosí), Tramo del km 0+000 al km 33+208.09, subtramo a modernizar: Tianguispicula (Limites Edos. Hgo/SLP)-Pahuayo-Santa Lucia-Temango, del km 22+500 al km 25+500</t>
  </si>
  <si>
    <t>- Terracerias
- Obras de Drenaje
- Pavimento
- Obras Complementarias
- Señalamiento</t>
  </si>
  <si>
    <t>Modernización y ampliación del camino Huautla-Chalingo-Tzacuala, Tramo: del km 0+000 al km 12+120, subtramo a modernizar del km 0+000 al km 2+000</t>
  </si>
  <si>
    <t>13/02/0001/2011</t>
  </si>
  <si>
    <t>13/02/0002/2011</t>
  </si>
  <si>
    <t>13/02/0003/2011</t>
  </si>
  <si>
    <t>13/02/0004/2011</t>
  </si>
  <si>
    <t>13/02/0005/2011</t>
  </si>
  <si>
    <t>13/02/0006/2011</t>
  </si>
  <si>
    <t>13/02/0007/2011</t>
  </si>
  <si>
    <t>13/02/0008/2011</t>
  </si>
  <si>
    <t>13/02/0009/2011</t>
  </si>
  <si>
    <t>13/02/0010/2011</t>
  </si>
  <si>
    <t>13/02/0011/2011</t>
  </si>
  <si>
    <t>13/02/0012/2011</t>
  </si>
  <si>
    <t>13/02/0013/2011</t>
  </si>
  <si>
    <t>13/02/0014/2011</t>
  </si>
  <si>
    <t>13/02/0015/2011</t>
  </si>
  <si>
    <t>13/02/0016/2011</t>
  </si>
  <si>
    <t>13/02/0017/2011</t>
  </si>
  <si>
    <t>13/02/0018/2011</t>
  </si>
  <si>
    <t>13/02/0019/2011</t>
  </si>
  <si>
    <t>13/02/0020/2011</t>
  </si>
  <si>
    <t>13/02/0021/2011</t>
  </si>
  <si>
    <t>13/02/0022/2011</t>
  </si>
  <si>
    <t>13/02/0023/2011</t>
  </si>
  <si>
    <t>13/02/0024/2011</t>
  </si>
  <si>
    <t>13/02/0025/2011</t>
  </si>
  <si>
    <t>13/02/0026/2011</t>
  </si>
  <si>
    <t xml:space="preserve">Modernización y ampliación de camino E.C. (Carretera Federal 45)-Portezuelo-Col. La Cruz-El Durazno, Tramo: del km 0+000 al km 2+780, subtramo a modernizar: del km 0+000 al km 1+000
</t>
  </si>
  <si>
    <t>13/02/0027/2011</t>
  </si>
  <si>
    <t>Modernización y ampliación del camino E.C. Tres Huastecas-La Mesa de Limantitla, Tramo: del km 0+000 al km 2+299.13, subtramo a modernizar del km 0+000 al km 1+000</t>
  </si>
  <si>
    <t>0063 La Mesa de Limantitla</t>
  </si>
  <si>
    <t>Modernización y ampliación de camino Nuevo Acatepec - Atlalco, tramo: del km. 0+000 al km. 4+890, subtramo a modernizar del km. 0+000 al km. 2+000</t>
  </si>
  <si>
    <t>Elaboración de los estudios y proyecto ejecutivo para la construcción de puente vehicular en el cruce del Río Chicavazco, carretera Capula - La Presa - El Rosario</t>
  </si>
  <si>
    <t>Supervisión Gerencial de Obra</t>
  </si>
  <si>
    <t>02 DE MARZO DE 2011</t>
  </si>
  <si>
    <t>CARTERA  DEL ACUERDO DE COORDINACIÓN QUE SUSCRIBEN  LA COMISION NACIONAL PARA EL DESARROLLO DE LOS PUEBLOS INDÍGENAS Y
EL PODER EJECUTIVO DEL ESTADO LIBRE Y SOBERANO DE HIDALGO</t>
  </si>
  <si>
    <t>CDI (70%)</t>
  </si>
  <si>
    <t>13/02/0028/2011</t>
  </si>
  <si>
    <t>Modernización y ampliación del camino rural Chilcualoya-Tetzacuatl-Ixcatepec, Tramo: del km 0+000 al km 10+000, subtramo a modernizar del km 0+000 al km 1+000</t>
  </si>
  <si>
    <t>Chilcualoya
0098 Tetzacuatl
0056 Ixcatepec</t>
  </si>
  <si>
    <t>269
223</t>
  </si>
  <si>
    <t>285
220</t>
  </si>
  <si>
    <t>Gobierno del Estado
(Secretaria de Desarrollo Social)</t>
  </si>
  <si>
    <t xml:space="preserve">- Colector
- Planta de tratamiento
- Obra de vertido
- Descargas domiciliarias
</t>
  </si>
  <si>
    <t>Modernización y ampliación del camino Ahuatitla-Temango, tramo del km. 0+000 al km 8+290, subtramo a modernizar del km.  1+000 al km. 2+000</t>
  </si>
  <si>
    <t>Modernización y ampliación del camino rural Calnali-San Andrés Chichayotla-Coyula-Santa Lucia-Mecatlan, Tramo: del km 0+000 al km 26+500, subtramo a modernizar: del km 19+000 al km 21+000</t>
  </si>
  <si>
    <r>
      <t xml:space="preserve">Modernización y ampliación del camino Xalcuatla-Chantasco, Tramo: del km 0+000 al km 3+740, subtramo a  modernizar del km 0+000 al km 2+000
</t>
    </r>
  </si>
  <si>
    <t>Beneficiarios Totales</t>
  </si>
  <si>
    <t>Periodo de ejecución estimado (días)</t>
  </si>
  <si>
    <t>TOTAL DE APORTACIONES PARA EL DESARROLLO DE LAS OBRAS</t>
  </si>
  <si>
    <t>U9</t>
  </si>
  <si>
    <t>“Este programa es público, ajeno a cualquier partido político. Queda prohibido el uso para fines distintos a los establecidos en el programa”</t>
  </si>
  <si>
    <t>ANEXO 1 AL ACUERDO DE COORDINACIÓN 2011 QUE CELEBRAN LA COMISIÓN NACIONAL PARA EL DESARROLLO DE LOS PUEBLOS INDIGENAS Y
EL PODER EJECUTIVO DEL ESTADO LIBRE Y SOBERANO DE HIDALGO</t>
  </si>
  <si>
    <t>EN LA MODALIDAD DE PROYECTOS ESTRATEGICOS</t>
  </si>
  <si>
    <t>13/02/00U9/2011</t>
  </si>
  <si>
    <t>Varias</t>
  </si>
  <si>
    <t>Varios</t>
  </si>
  <si>
    <t>Informe</t>
  </si>
  <si>
    <t>T O T A L    G E N E R A L</t>
  </si>
  <si>
    <t>Construcción del sistema de alcantarillado sanitario y planta de tratamiento (2da Etapa), para beneficiar a la localidad de Huitexcalco de Morelos, en el municipio de Chilcuautla</t>
  </si>
  <si>
    <t>062 Tepehucan de Guerrero</t>
  </si>
  <si>
    <t>Ampliación de la linea y red de distribución de energía eléctrica, para beneficiar a la localidad de El Águila, en el municipio de Santiago de Anaya</t>
  </si>
  <si>
    <t>Construcción del sistema integral de alcantarillado sanitario (2a Etapa), para beneficiar a las localidades de: San Felipe Orizatlan (Colonia Hidalgo Unido y Magisterial), Ahuatempa, Totonicapa, Bella Vista, El Llano, Zacayahual, Santa Ana, La Labor I y Valle Verde</t>
  </si>
  <si>
    <t xml:space="preserve">Estudio topo hidráulico e hidrológico
Estudios geotécnicos y de cimentación
Dictamen del impacto ambiental
Proyecto constructivo
</t>
  </si>
  <si>
    <t>Estudios de mecánica de suelos y de ingeniería de tránsito
Manifiestación y Dictamen del impacto ambiental (incluye pago de derechos por ingreso a SEMARNAT)
Trazo y nivelación
Secciones transversales o de construcción
Perfil (alineamiento horizontal y vertical)
Curva masa y datos de construcción
Proyecto de obras de drenaje, diseño de pavimento y de señalamiento (horizontal y vertical)</t>
  </si>
  <si>
    <t>CDI (Comisión Nacional para el Desarrollo de los Pueblos Indígenas)</t>
  </si>
  <si>
    <t>Supervisión de obras</t>
  </si>
  <si>
    <t>Servicios de Supervisión Gerencial de obras</t>
  </si>
  <si>
    <t>Seguimiento y supervisión al proceso constructivo de las obras y el cumplimiento de la normatividad aplicable</t>
  </si>
  <si>
    <t>MARIA LUISA GABRIELA LUGO MEDINA</t>
  </si>
  <si>
    <t>DELEGADA DE LA CDI EN EL ESTADO DE HIDALGO</t>
  </si>
  <si>
    <t>LIC. JUAN JOSE TAPIA GONZALEZ</t>
  </si>
  <si>
    <t>SECRETARIO DE DESARROLLO SOCIAL</t>
  </si>
  <si>
    <t>Modernización y ampliación de camino E.C. (Carretera Federal 45)-Portezuelo-Col. La Cruz-El Durazno, Tramo: del km 0+000 al km 2+780, subtramo a modernizar: del km 0+000 al km 1+000</t>
  </si>
  <si>
    <r>
      <t>Modernización y ampliación del camino Huautla-Chalingo-Tzacuala, Tramo: del km 0+000 al km 12+120, subtramo a modernizar del km 0+000 al km 2+000</t>
    </r>
  </si>
  <si>
    <t>677
562
655
436
287</t>
  </si>
  <si>
    <t>676
548
693
435
298</t>
  </si>
  <si>
    <t>0001 Orizatlán
0003 Ahuatempa
0028 La Labor I
0051 Santa Ana
0064 Totonicapa
0070 Zacayahual
0075 El Llano
0138 Valle Verde
0155 Bellavista</t>
  </si>
  <si>
    <t>3,198
147
189
230
348
96
87
206
33</t>
  </si>
  <si>
    <t>3,386
140
176
205
339
92
89
221
31</t>
  </si>
  <si>
    <t>369
955
114</t>
  </si>
  <si>
    <t>354
928
109</t>
  </si>
  <si>
    <t>Ampliación de la línea y red de distribución de energía eléctrica, para beneficiar a la localidad de González González, en el municipio de Santiago de Anaya</t>
  </si>
  <si>
    <t>Ampliación de la línea y red de distribución de energía eléctrica, para beneficiar a la localidad de Ejido El Mezquital, en el municipio de Santiago de Anaya</t>
  </si>
  <si>
    <r>
      <t>Elaboración de los estudios y proyectos para la Modernización y ampliación del camino Capúla-La Presa-El Rosario, Tramo estimado: del km. 1+133.92 al km. 3+933.92 (2.80 kilómetros aproximadamente)</t>
    </r>
  </si>
  <si>
    <t>Elaboración de los estudios y proyecto ejecutivo para la construcción de puente vehicular ubicado en el camino Capúla-La Presa-El Rosario, en el cruce del Río Chicavazco</t>
  </si>
  <si>
    <t>No de obras y/o acciones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</si>
</sst>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0.000%"/>
    <numFmt numFmtId="174" formatCode="#,##0.000"/>
    <numFmt numFmtId="175" formatCode="[$$-80A]#,##0.00"/>
    <numFmt numFmtId="176" formatCode="0.000"/>
    <numFmt numFmtId="177" formatCode="[$$-80A]#,##0.00000"/>
    <numFmt numFmtId="178" formatCode="_-&quot;$&quot;* #,##0.00_-;\-&quot;$&quot;* #,##0.00_-;_-&quot;$&quot;* &quot;-&quot;_-;_-@_-"/>
    <numFmt numFmtId="179" formatCode="0.0000"/>
    <numFmt numFmtId="180" formatCode="00"/>
    <numFmt numFmtId="181" formatCode="[$$-80A]#,##0.000"/>
    <numFmt numFmtId="182" formatCode="0.0%"/>
    <numFmt numFmtId="183" formatCode="0.0000%"/>
    <numFmt numFmtId="184" formatCode="0.00000%"/>
    <numFmt numFmtId="185" formatCode="_-[$$-80A]* #,##0.00_-;\-[$$-80A]* #,##0.00_-;_-[$$-80A]* &quot;-&quot;??_-;_-@_-"/>
    <numFmt numFmtId="186" formatCode="0.000000%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6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wrapText="1"/>
    </xf>
    <xf numFmtId="10" fontId="0" fillId="0" borderId="0" xfId="0" applyNumberFormat="1" applyFont="1" applyFill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5" fontId="2" fillId="0" borderId="15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5" fontId="2" fillId="0" borderId="16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10" borderId="0" xfId="0" applyFont="1" applyFill="1" applyAlignment="1">
      <alignment horizontal="center" vertical="top" wrapText="1"/>
    </xf>
    <xf numFmtId="0" fontId="0" fillId="10" borderId="0" xfId="0" applyFont="1" applyFill="1" applyAlignment="1">
      <alignment vertical="top"/>
    </xf>
    <xf numFmtId="0" fontId="0" fillId="1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14" xfId="0" applyFill="1" applyBorder="1" applyAlignment="1">
      <alignment horizontal="center" vertical="top" wrapText="1"/>
    </xf>
    <xf numFmtId="49" fontId="0" fillId="34" borderId="14" xfId="0" applyNumberFormat="1" applyFont="1" applyFill="1" applyBorder="1" applyAlignment="1">
      <alignment horizontal="center" vertical="top" wrapText="1"/>
    </xf>
    <xf numFmtId="0" fontId="0" fillId="34" borderId="14" xfId="0" applyFont="1" applyFill="1" applyBorder="1" applyAlignment="1" quotePrefix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175" fontId="0" fillId="34" borderId="14" xfId="0" applyNumberFormat="1" applyFont="1" applyFill="1" applyBorder="1" applyAlignment="1">
      <alignment horizontal="right" vertical="top" wrapText="1"/>
    </xf>
    <xf numFmtId="176" fontId="0" fillId="34" borderId="14" xfId="0" applyNumberFormat="1" applyFont="1" applyFill="1" applyBorder="1" applyAlignment="1">
      <alignment horizontal="center" vertical="top"/>
    </xf>
    <xf numFmtId="10" fontId="0" fillId="34" borderId="14" xfId="0" applyNumberFormat="1" applyFont="1" applyFill="1" applyBorder="1" applyAlignment="1">
      <alignment horizontal="center" vertical="top"/>
    </xf>
    <xf numFmtId="10" fontId="0" fillId="34" borderId="14" xfId="0" applyNumberFormat="1" applyFont="1" applyFill="1" applyBorder="1" applyAlignment="1">
      <alignment horizontal="center" vertical="top" wrapText="1"/>
    </xf>
    <xf numFmtId="174" fontId="0" fillId="34" borderId="14" xfId="0" applyNumberFormat="1" applyFont="1" applyFill="1" applyBorder="1" applyAlignment="1">
      <alignment horizontal="center" vertical="top"/>
    </xf>
    <xf numFmtId="3" fontId="0" fillId="34" borderId="14" xfId="0" applyNumberFormat="1" applyFont="1" applyFill="1" applyBorder="1" applyAlignment="1">
      <alignment horizontal="center" vertical="top" wrapText="1"/>
    </xf>
    <xf numFmtId="3" fontId="0" fillId="34" borderId="14" xfId="0" applyNumberFormat="1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center" wrapText="1"/>
    </xf>
    <xf numFmtId="175" fontId="2" fillId="34" borderId="17" xfId="0" applyNumberFormat="1" applyFont="1" applyFill="1" applyBorder="1" applyAlignment="1">
      <alignment horizontal="center" vertical="center" wrapText="1"/>
    </xf>
    <xf numFmtId="174" fontId="2" fillId="34" borderId="17" xfId="0" applyNumberFormat="1" applyFont="1" applyFill="1" applyBorder="1" applyAlignment="1">
      <alignment horizontal="center" vertical="center" wrapText="1"/>
    </xf>
    <xf numFmtId="173" fontId="2" fillId="34" borderId="17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175" fontId="2" fillId="34" borderId="17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10" fontId="0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 vertical="top"/>
    </xf>
    <xf numFmtId="0" fontId="2" fillId="35" borderId="14" xfId="0" applyFont="1" applyFill="1" applyBorder="1" applyAlignment="1">
      <alignment horizontal="center" vertical="center" wrapText="1"/>
    </xf>
    <xf numFmtId="175" fontId="0" fillId="15" borderId="14" xfId="0" applyNumberFormat="1" applyFont="1" applyFill="1" applyBorder="1" applyAlignment="1">
      <alignment horizontal="right" vertical="top" wrapText="1"/>
    </xf>
    <xf numFmtId="0" fontId="0" fillId="15" borderId="0" xfId="0" applyFont="1" applyFill="1" applyAlignment="1">
      <alignment/>
    </xf>
    <xf numFmtId="175" fontId="0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/>
    </xf>
    <xf numFmtId="49" fontId="0" fillId="34" borderId="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175" fontId="0" fillId="34" borderId="0" xfId="0" applyNumberFormat="1" applyFont="1" applyFill="1" applyBorder="1" applyAlignment="1">
      <alignment horizontal="right" vertical="top" wrapText="1"/>
    </xf>
    <xf numFmtId="176" fontId="0" fillId="34" borderId="0" xfId="0" applyNumberFormat="1" applyFont="1" applyFill="1" applyBorder="1" applyAlignment="1">
      <alignment horizontal="center" vertical="top"/>
    </xf>
    <xf numFmtId="10" fontId="0" fillId="34" borderId="0" xfId="0" applyNumberFormat="1" applyFont="1" applyFill="1" applyBorder="1" applyAlignment="1">
      <alignment horizontal="center" vertical="top"/>
    </xf>
    <xf numFmtId="10" fontId="0" fillId="34" borderId="0" xfId="0" applyNumberFormat="1" applyFont="1" applyFill="1" applyBorder="1" applyAlignment="1">
      <alignment horizontal="center" vertical="top" wrapText="1"/>
    </xf>
    <xf numFmtId="4" fontId="0" fillId="34" borderId="0" xfId="0" applyNumberFormat="1" applyFont="1" applyFill="1" applyBorder="1" applyAlignment="1">
      <alignment horizontal="center" vertical="top"/>
    </xf>
    <xf numFmtId="3" fontId="0" fillId="34" borderId="0" xfId="0" applyNumberFormat="1" applyFont="1" applyFill="1" applyBorder="1" applyAlignment="1">
      <alignment horizontal="center" vertical="top" wrapText="1"/>
    </xf>
    <xf numFmtId="3" fontId="0" fillId="34" borderId="0" xfId="0" applyNumberFormat="1" applyFont="1" applyFill="1" applyBorder="1" applyAlignment="1">
      <alignment horizontal="center" vertical="top"/>
    </xf>
    <xf numFmtId="0" fontId="2" fillId="18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0" fontId="0" fillId="11" borderId="14" xfId="0" applyFill="1" applyBorder="1" applyAlignment="1">
      <alignment horizontal="center" vertical="top" wrapText="1"/>
    </xf>
    <xf numFmtId="49" fontId="0" fillId="11" borderId="14" xfId="0" applyNumberFormat="1" applyFont="1" applyFill="1" applyBorder="1" applyAlignment="1">
      <alignment horizontal="center" vertical="top" wrapText="1"/>
    </xf>
    <xf numFmtId="0" fontId="0" fillId="11" borderId="14" xfId="0" applyFont="1" applyFill="1" applyBorder="1" applyAlignment="1" quotePrefix="1">
      <alignment horizontal="center" vertical="top" wrapText="1"/>
    </xf>
    <xf numFmtId="0" fontId="0" fillId="11" borderId="14" xfId="0" applyFont="1" applyFill="1" applyBorder="1" applyAlignment="1">
      <alignment horizontal="center" vertical="top" wrapText="1"/>
    </xf>
    <xf numFmtId="175" fontId="0" fillId="11" borderId="14" xfId="0" applyNumberFormat="1" applyFont="1" applyFill="1" applyBorder="1" applyAlignment="1">
      <alignment horizontal="right" vertical="top" wrapText="1"/>
    </xf>
    <xf numFmtId="176" fontId="0" fillId="11" borderId="14" xfId="0" applyNumberFormat="1" applyFont="1" applyFill="1" applyBorder="1" applyAlignment="1">
      <alignment horizontal="center" vertical="top"/>
    </xf>
    <xf numFmtId="10" fontId="0" fillId="11" borderId="14" xfId="0" applyNumberFormat="1" applyFont="1" applyFill="1" applyBorder="1" applyAlignment="1">
      <alignment horizontal="center" vertical="top"/>
    </xf>
    <xf numFmtId="10" fontId="0" fillId="11" borderId="14" xfId="0" applyNumberFormat="1" applyFont="1" applyFill="1" applyBorder="1" applyAlignment="1">
      <alignment horizontal="center" vertical="top" wrapText="1"/>
    </xf>
    <xf numFmtId="174" fontId="0" fillId="11" borderId="14" xfId="0" applyNumberFormat="1" applyFont="1" applyFill="1" applyBorder="1" applyAlignment="1">
      <alignment horizontal="center" vertical="top"/>
    </xf>
    <xf numFmtId="3" fontId="0" fillId="11" borderId="14" xfId="0" applyNumberFormat="1" applyFont="1" applyFill="1" applyBorder="1" applyAlignment="1">
      <alignment horizontal="center" vertical="top" wrapText="1"/>
    </xf>
    <xf numFmtId="3" fontId="0" fillId="11" borderId="14" xfId="0" applyNumberFormat="1" applyFont="1" applyFill="1" applyBorder="1" applyAlignment="1">
      <alignment horizontal="center" vertical="top"/>
    </xf>
    <xf numFmtId="0" fontId="0" fillId="11" borderId="14" xfId="0" applyFill="1" applyBorder="1" applyAlignment="1" quotePrefix="1">
      <alignment horizontal="center" vertical="top" wrapText="1"/>
    </xf>
    <xf numFmtId="0" fontId="0" fillId="11" borderId="14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left" vertical="center" wrapText="1"/>
    </xf>
    <xf numFmtId="175" fontId="0" fillId="11" borderId="14" xfId="0" applyNumberFormat="1" applyFont="1" applyFill="1" applyBorder="1" applyAlignment="1">
      <alignment horizontal="center" vertical="center" wrapText="1"/>
    </xf>
    <xf numFmtId="178" fontId="0" fillId="11" borderId="14" xfId="54" applyNumberFormat="1" applyFont="1" applyFill="1" applyBorder="1" applyAlignment="1">
      <alignment horizontal="center" vertical="center" wrapText="1"/>
    </xf>
    <xf numFmtId="176" fontId="0" fillId="11" borderId="14" xfId="0" applyNumberFormat="1" applyFill="1" applyBorder="1" applyAlignment="1">
      <alignment horizontal="center" vertical="center"/>
    </xf>
    <xf numFmtId="10" fontId="0" fillId="11" borderId="14" xfId="0" applyNumberFormat="1" applyFont="1" applyFill="1" applyBorder="1" applyAlignment="1">
      <alignment horizontal="center" vertical="center"/>
    </xf>
    <xf numFmtId="10" fontId="0" fillId="11" borderId="14" xfId="0" applyNumberFormat="1" applyFont="1" applyFill="1" applyBorder="1" applyAlignment="1">
      <alignment horizontal="center" vertical="center" wrapText="1"/>
    </xf>
    <xf numFmtId="4" fontId="0" fillId="11" borderId="14" xfId="0" applyNumberFormat="1" applyFont="1" applyFill="1" applyBorder="1" applyAlignment="1">
      <alignment horizontal="center" vertical="center"/>
    </xf>
    <xf numFmtId="3" fontId="0" fillId="11" borderId="14" xfId="0" applyNumberFormat="1" applyFont="1" applyFill="1" applyBorder="1" applyAlignment="1">
      <alignment horizontal="center" vertical="center" wrapText="1"/>
    </xf>
    <xf numFmtId="3" fontId="0" fillId="11" borderId="14" xfId="0" applyNumberFormat="1" applyFont="1" applyFill="1" applyBorder="1" applyAlignment="1">
      <alignment horizontal="center" vertical="center"/>
    </xf>
    <xf numFmtId="0" fontId="0" fillId="11" borderId="14" xfId="0" applyFill="1" applyBorder="1" applyAlignment="1">
      <alignment horizontal="justify" vertical="center" wrapText="1"/>
    </xf>
    <xf numFmtId="4" fontId="0" fillId="11" borderId="14" xfId="0" applyNumberFormat="1" applyFont="1" applyFill="1" applyBorder="1" applyAlignment="1">
      <alignment horizontal="center" vertical="top"/>
    </xf>
    <xf numFmtId="175" fontId="0" fillId="11" borderId="14" xfId="0" applyNumberFormat="1" applyFont="1" applyFill="1" applyBorder="1" applyAlignment="1">
      <alignment horizontal="right" vertical="center" wrapText="1"/>
    </xf>
    <xf numFmtId="176" fontId="0" fillId="11" borderId="14" xfId="0" applyNumberFormat="1" applyFont="1" applyFill="1" applyBorder="1" applyAlignment="1">
      <alignment horizontal="center" vertical="center"/>
    </xf>
    <xf numFmtId="3" fontId="0" fillId="11" borderId="14" xfId="0" applyNumberForma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top" wrapText="1"/>
    </xf>
    <xf numFmtId="0" fontId="0" fillId="11" borderId="14" xfId="0" applyFont="1" applyFill="1" applyBorder="1" applyAlignment="1">
      <alignment horizontal="center" vertical="top"/>
    </xf>
    <xf numFmtId="2" fontId="0" fillId="11" borderId="14" xfId="0" applyNumberFormat="1" applyFont="1" applyFill="1" applyBorder="1" applyAlignment="1">
      <alignment horizontal="center" vertical="top"/>
    </xf>
    <xf numFmtId="49" fontId="0" fillId="11" borderId="14" xfId="0" applyNumberFormat="1" applyFont="1" applyFill="1" applyBorder="1" applyAlignment="1" quotePrefix="1">
      <alignment horizontal="center" vertical="top" wrapText="1"/>
    </xf>
    <xf numFmtId="175" fontId="0" fillId="11" borderId="14" xfId="0" applyNumberFormat="1" applyFont="1" applyFill="1" applyBorder="1" applyAlignment="1">
      <alignment vertical="top" wrapText="1"/>
    </xf>
    <xf numFmtId="178" fontId="0" fillId="11" borderId="14" xfId="54" applyNumberFormat="1" applyFont="1" applyFill="1" applyBorder="1" applyAlignment="1">
      <alignment horizontal="center" vertical="top" wrapText="1"/>
    </xf>
    <xf numFmtId="175" fontId="0" fillId="11" borderId="14" xfId="0" applyNumberFormat="1" applyFont="1" applyFill="1" applyBorder="1" applyAlignment="1">
      <alignment horizontal="center" vertical="top" wrapText="1"/>
    </xf>
    <xf numFmtId="0" fontId="8" fillId="11" borderId="14" xfId="0" applyFont="1" applyFill="1" applyBorder="1" applyAlignment="1">
      <alignment horizontal="center" vertical="top" wrapText="1"/>
    </xf>
    <xf numFmtId="0" fontId="0" fillId="11" borderId="14" xfId="0" applyFill="1" applyBorder="1" applyAlignment="1">
      <alignment horizontal="center" vertical="top"/>
    </xf>
    <xf numFmtId="3" fontId="0" fillId="11" borderId="14" xfId="0" applyNumberFormat="1" applyFill="1" applyBorder="1" applyAlignment="1">
      <alignment horizontal="center" vertical="top" wrapText="1"/>
    </xf>
    <xf numFmtId="4" fontId="0" fillId="11" borderId="14" xfId="0" applyNumberFormat="1" applyFont="1" applyFill="1" applyBorder="1" applyAlignment="1" quotePrefix="1">
      <alignment horizontal="center" vertical="top"/>
    </xf>
    <xf numFmtId="0" fontId="15" fillId="0" borderId="0" xfId="59" applyFont="1" applyFill="1" applyBorder="1" applyAlignment="1">
      <alignment vertical="center" wrapText="1"/>
      <protection/>
    </xf>
    <xf numFmtId="0" fontId="16" fillId="0" borderId="0" xfId="59" applyFont="1" applyFill="1" applyBorder="1" applyAlignment="1">
      <alignment horizontal="center" vertical="top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>
      <alignment/>
      <protection/>
    </xf>
    <xf numFmtId="174" fontId="16" fillId="0" borderId="0" xfId="59" applyNumberFormat="1" applyFont="1" applyFill="1" applyBorder="1">
      <alignment/>
      <protection/>
    </xf>
    <xf numFmtId="0" fontId="17" fillId="0" borderId="18" xfId="59" applyFont="1" applyFill="1" applyBorder="1" applyAlignment="1">
      <alignment horizontal="center" vertical="center" wrapText="1"/>
      <protection/>
    </xf>
    <xf numFmtId="0" fontId="17" fillId="0" borderId="19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vertical="center" wrapText="1"/>
      <protection/>
    </xf>
    <xf numFmtId="0" fontId="17" fillId="0" borderId="20" xfId="59" applyFont="1" applyFill="1" applyBorder="1" applyAlignment="1">
      <alignment horizontal="center" vertical="center" wrapText="1"/>
      <protection/>
    </xf>
    <xf numFmtId="0" fontId="17" fillId="0" borderId="21" xfId="59" applyFont="1" applyFill="1" applyBorder="1" applyAlignment="1">
      <alignment horizontal="center" vertical="center" wrapText="1"/>
      <protection/>
    </xf>
    <xf numFmtId="0" fontId="17" fillId="0" borderId="18" xfId="59" applyFont="1" applyFill="1" applyBorder="1" applyAlignment="1">
      <alignment horizontal="center" wrapText="1"/>
      <protection/>
    </xf>
    <xf numFmtId="0" fontId="17" fillId="0" borderId="22" xfId="59" applyFont="1" applyFill="1" applyBorder="1" applyAlignment="1">
      <alignment horizontal="center" vertical="center" wrapText="1"/>
      <protection/>
    </xf>
    <xf numFmtId="0" fontId="17" fillId="0" borderId="23" xfId="59" applyFont="1" applyFill="1" applyBorder="1" applyAlignment="1">
      <alignment horizontal="center" vertical="center" wrapText="1"/>
      <protection/>
    </xf>
    <xf numFmtId="174" fontId="17" fillId="0" borderId="19" xfId="59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 wrapText="1"/>
      <protection/>
    </xf>
    <xf numFmtId="0" fontId="14" fillId="0" borderId="24" xfId="59" applyFont="1" applyFill="1" applyBorder="1" applyAlignment="1">
      <alignment horizontal="center" vertical="top" wrapText="1"/>
      <protection/>
    </xf>
    <xf numFmtId="49" fontId="14" fillId="0" borderId="24" xfId="59" applyNumberFormat="1" applyFont="1" applyFill="1" applyBorder="1" applyAlignment="1">
      <alignment horizontal="center" vertical="top" wrapText="1"/>
      <protection/>
    </xf>
    <xf numFmtId="4" fontId="14" fillId="0" borderId="24" xfId="59" applyNumberFormat="1" applyFont="1" applyFill="1" applyBorder="1" applyAlignment="1">
      <alignment horizontal="center" vertical="top" wrapText="1"/>
      <protection/>
    </xf>
    <xf numFmtId="174" fontId="14" fillId="0" borderId="24" xfId="59" applyNumberFormat="1" applyFont="1" applyFill="1" applyBorder="1" applyAlignment="1">
      <alignment horizontal="center" vertical="top" wrapText="1"/>
      <protection/>
    </xf>
    <xf numFmtId="10" fontId="14" fillId="0" borderId="24" xfId="59" applyNumberFormat="1" applyFont="1" applyFill="1" applyBorder="1" applyAlignment="1">
      <alignment horizontal="center" vertical="top" wrapText="1"/>
      <protection/>
    </xf>
    <xf numFmtId="3" fontId="14" fillId="0" borderId="24" xfId="59" applyNumberFormat="1" applyFont="1" applyFill="1" applyBorder="1" applyAlignment="1">
      <alignment horizontal="center" vertical="top" wrapText="1"/>
      <protection/>
    </xf>
    <xf numFmtId="1" fontId="14" fillId="0" borderId="24" xfId="59" applyNumberFormat="1" applyFont="1" applyFill="1" applyBorder="1" applyAlignment="1">
      <alignment horizontal="center" vertical="top" wrapText="1"/>
      <protection/>
    </xf>
    <xf numFmtId="0" fontId="14" fillId="0" borderId="0" xfId="59" applyFont="1" applyFill="1" applyBorder="1" applyAlignment="1">
      <alignment vertical="top" wrapText="1"/>
      <protection/>
    </xf>
    <xf numFmtId="49" fontId="14" fillId="0" borderId="25" xfId="59" applyNumberFormat="1" applyFont="1" applyFill="1" applyBorder="1" applyAlignment="1">
      <alignment horizontal="center" vertical="top" wrapText="1"/>
      <protection/>
    </xf>
    <xf numFmtId="0" fontId="14" fillId="0" borderId="25" xfId="59" applyFont="1" applyFill="1" applyBorder="1" applyAlignment="1">
      <alignment horizontal="center" vertical="top" wrapText="1"/>
      <protection/>
    </xf>
    <xf numFmtId="0" fontId="14" fillId="0" borderId="25" xfId="60" applyNumberFormat="1" applyFont="1" applyFill="1" applyBorder="1" applyAlignment="1">
      <alignment horizontal="center" vertical="top" wrapText="1"/>
      <protection/>
    </xf>
    <xf numFmtId="49" fontId="14" fillId="0" borderId="25" xfId="60" applyNumberFormat="1" applyFont="1" applyFill="1" applyBorder="1" applyAlignment="1">
      <alignment horizontal="center" vertical="top" wrapText="1"/>
      <protection/>
    </xf>
    <xf numFmtId="4" fontId="14" fillId="0" borderId="25" xfId="59" applyNumberFormat="1" applyFont="1" applyFill="1" applyBorder="1" applyAlignment="1">
      <alignment horizontal="center" vertical="top" wrapText="1"/>
      <protection/>
    </xf>
    <xf numFmtId="174" fontId="14" fillId="0" borderId="25" xfId="59" applyNumberFormat="1" applyFont="1" applyFill="1" applyBorder="1" applyAlignment="1">
      <alignment horizontal="center" vertical="top" wrapText="1"/>
      <protection/>
    </xf>
    <xf numFmtId="10" fontId="14" fillId="0" borderId="25" xfId="59" applyNumberFormat="1" applyFont="1" applyFill="1" applyBorder="1" applyAlignment="1">
      <alignment horizontal="center" vertical="top" wrapText="1"/>
      <protection/>
    </xf>
    <xf numFmtId="3" fontId="14" fillId="0" borderId="25" xfId="59" applyNumberFormat="1" applyFont="1" applyFill="1" applyBorder="1" applyAlignment="1">
      <alignment horizontal="center" vertical="top" wrapText="1"/>
      <protection/>
    </xf>
    <xf numFmtId="1" fontId="14" fillId="0" borderId="25" xfId="59" applyNumberFormat="1" applyFont="1" applyFill="1" applyBorder="1" applyAlignment="1">
      <alignment horizontal="center" vertical="top" wrapText="1"/>
      <protection/>
    </xf>
    <xf numFmtId="4" fontId="14" fillId="0" borderId="11" xfId="59" applyNumberFormat="1" applyFont="1" applyFill="1" applyBorder="1" applyAlignment="1">
      <alignment vertical="center" wrapText="1"/>
      <protection/>
    </xf>
    <xf numFmtId="174" fontId="14" fillId="0" borderId="11" xfId="59" applyNumberFormat="1" applyFont="1" applyFill="1" applyBorder="1" applyAlignment="1">
      <alignment vertical="center" wrapText="1"/>
      <protection/>
    </xf>
    <xf numFmtId="3" fontId="18" fillId="0" borderId="11" xfId="59" applyNumberFormat="1" applyFont="1" applyFill="1" applyBorder="1" applyAlignment="1">
      <alignment horizontal="center" vertical="center" wrapText="1"/>
      <protection/>
    </xf>
    <xf numFmtId="4" fontId="14" fillId="0" borderId="11" xfId="59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vertical="center" wrapText="1"/>
      <protection/>
    </xf>
    <xf numFmtId="0" fontId="14" fillId="0" borderId="14" xfId="59" applyFont="1" applyFill="1" applyBorder="1" applyAlignment="1">
      <alignment horizontal="center" vertical="top" wrapText="1"/>
      <protection/>
    </xf>
    <xf numFmtId="49" fontId="14" fillId="0" borderId="14" xfId="59" applyNumberFormat="1" applyFont="1" applyFill="1" applyBorder="1" applyAlignment="1">
      <alignment horizontal="center" vertical="top" wrapText="1"/>
      <protection/>
    </xf>
    <xf numFmtId="0" fontId="14" fillId="0" borderId="14" xfId="60" applyNumberFormat="1" applyFont="1" applyFill="1" applyBorder="1" applyAlignment="1">
      <alignment horizontal="center" vertical="top" wrapText="1"/>
      <protection/>
    </xf>
    <xf numFmtId="4" fontId="14" fillId="0" borderId="14" xfId="59" applyNumberFormat="1" applyFont="1" applyFill="1" applyBorder="1" applyAlignment="1">
      <alignment horizontal="center" vertical="top" wrapText="1"/>
      <protection/>
    </xf>
    <xf numFmtId="174" fontId="14" fillId="0" borderId="14" xfId="59" applyNumberFormat="1" applyFont="1" applyFill="1" applyBorder="1" applyAlignment="1">
      <alignment horizontal="center" vertical="top" wrapText="1"/>
      <protection/>
    </xf>
    <xf numFmtId="10" fontId="14" fillId="0" borderId="14" xfId="59" applyNumberFormat="1" applyFont="1" applyFill="1" applyBorder="1" applyAlignment="1">
      <alignment horizontal="center" vertical="top" wrapText="1"/>
      <protection/>
    </xf>
    <xf numFmtId="3" fontId="14" fillId="0" borderId="14" xfId="59" applyNumberFormat="1" applyFont="1" applyFill="1" applyBorder="1" applyAlignment="1">
      <alignment horizontal="center" vertical="top" wrapText="1"/>
      <protection/>
    </xf>
    <xf numFmtId="1" fontId="14" fillId="0" borderId="14" xfId="59" applyNumberFormat="1" applyFont="1" applyFill="1" applyBorder="1" applyAlignment="1">
      <alignment horizontal="center" vertical="top" wrapText="1"/>
      <protection/>
    </xf>
    <xf numFmtId="4" fontId="18" fillId="0" borderId="26" xfId="59" applyNumberFormat="1" applyFont="1" applyFill="1" applyBorder="1" applyAlignment="1">
      <alignment horizontal="center" vertical="center" wrapText="1"/>
      <protection/>
    </xf>
    <xf numFmtId="0" fontId="18" fillId="0" borderId="26" xfId="59" applyFont="1" applyFill="1" applyBorder="1" applyAlignment="1">
      <alignment vertical="center" wrapText="1"/>
      <protection/>
    </xf>
    <xf numFmtId="1" fontId="18" fillId="0" borderId="27" xfId="59" applyNumberFormat="1" applyFont="1" applyFill="1" applyBorder="1" applyAlignment="1">
      <alignment horizontal="center" vertical="center" wrapText="1"/>
      <protection/>
    </xf>
    <xf numFmtId="3" fontId="18" fillId="0" borderId="14" xfId="59" applyNumberFormat="1" applyFont="1" applyFill="1" applyBorder="1" applyAlignment="1">
      <alignment horizontal="center" vertical="center" wrapText="1"/>
      <protection/>
    </xf>
    <xf numFmtId="1" fontId="18" fillId="0" borderId="26" xfId="59" applyNumberFormat="1" applyFont="1" applyFill="1" applyBorder="1" applyAlignment="1">
      <alignment vertical="center" wrapText="1"/>
      <protection/>
    </xf>
    <xf numFmtId="1" fontId="18" fillId="0" borderId="28" xfId="59" applyNumberFormat="1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>
      <alignment horizontal="center" vertical="top" wrapText="1"/>
      <protection/>
    </xf>
    <xf numFmtId="49" fontId="17" fillId="0" borderId="0" xfId="59" applyNumberFormat="1" applyFont="1" applyFill="1" applyBorder="1" applyAlignment="1">
      <alignment horizontal="center" vertical="center" wrapText="1"/>
      <protection/>
    </xf>
    <xf numFmtId="4" fontId="17" fillId="0" borderId="0" xfId="59" applyNumberFormat="1" applyFont="1" applyFill="1" applyBorder="1" applyAlignment="1">
      <alignment horizontal="center" vertical="center" wrapText="1"/>
      <protection/>
    </xf>
    <xf numFmtId="174" fontId="17" fillId="0" borderId="0" xfId="59" applyNumberFormat="1" applyFont="1" applyFill="1" applyBorder="1" applyAlignment="1">
      <alignment horizontal="center" vertical="center" wrapText="1"/>
      <protection/>
    </xf>
    <xf numFmtId="2" fontId="17" fillId="0" borderId="0" xfId="59" applyNumberFormat="1" applyFont="1" applyFill="1" applyBorder="1" applyAlignment="1">
      <alignment horizontal="center" vertical="center" wrapText="1"/>
      <protection/>
    </xf>
    <xf numFmtId="3" fontId="17" fillId="0" borderId="0" xfId="59" applyNumberFormat="1" applyFont="1" applyFill="1" applyBorder="1" applyAlignment="1">
      <alignment horizontal="center" vertical="center" wrapText="1"/>
      <protection/>
    </xf>
    <xf numFmtId="1" fontId="17" fillId="0" borderId="0" xfId="59" applyNumberFormat="1" applyFont="1" applyFill="1" applyBorder="1" applyAlignment="1">
      <alignment vertical="center" wrapText="1"/>
      <protection/>
    </xf>
    <xf numFmtId="1" fontId="17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top" wrapText="1"/>
      <protection/>
    </xf>
    <xf numFmtId="49" fontId="16" fillId="0" borderId="0" xfId="59" applyNumberFormat="1" applyFont="1" applyFill="1" applyBorder="1" applyAlignment="1">
      <alignment horizontal="center" vertical="top" wrapText="1"/>
      <protection/>
    </xf>
    <xf numFmtId="0" fontId="16" fillId="0" borderId="0" xfId="60" applyNumberFormat="1" applyFont="1" applyFill="1" applyBorder="1" applyAlignment="1">
      <alignment horizontal="center" vertical="top" wrapText="1"/>
      <protection/>
    </xf>
    <xf numFmtId="4" fontId="16" fillId="0" borderId="0" xfId="59" applyNumberFormat="1" applyFont="1" applyFill="1" applyBorder="1" applyAlignment="1">
      <alignment horizontal="center" vertical="top" wrapText="1"/>
      <protection/>
    </xf>
    <xf numFmtId="174" fontId="16" fillId="0" borderId="0" xfId="59" applyNumberFormat="1" applyFont="1" applyFill="1" applyBorder="1" applyAlignment="1">
      <alignment horizontal="center" vertical="top" wrapText="1"/>
      <protection/>
    </xf>
    <xf numFmtId="10" fontId="16" fillId="0" borderId="0" xfId="59" applyNumberFormat="1" applyFont="1" applyFill="1" applyBorder="1" applyAlignment="1">
      <alignment horizontal="center" vertical="top" wrapText="1"/>
      <protection/>
    </xf>
    <xf numFmtId="3" fontId="16" fillId="0" borderId="0" xfId="59" applyNumberFormat="1" applyFont="1" applyFill="1" applyBorder="1" applyAlignment="1">
      <alignment horizontal="center" vertical="top" wrapText="1"/>
      <protection/>
    </xf>
    <xf numFmtId="1" fontId="16" fillId="0" borderId="0" xfId="59" applyNumberFormat="1" applyFont="1" applyFill="1" applyBorder="1" applyAlignment="1">
      <alignment horizontal="center"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49" fontId="16" fillId="0" borderId="16" xfId="59" applyNumberFormat="1" applyFont="1" applyFill="1" applyBorder="1" applyAlignment="1">
      <alignment horizontal="center" vertical="top" wrapText="1"/>
      <protection/>
    </xf>
    <xf numFmtId="0" fontId="16" fillId="0" borderId="16" xfId="59" applyFont="1" applyFill="1" applyBorder="1" applyAlignment="1">
      <alignment horizontal="center" vertical="top" wrapText="1"/>
      <protection/>
    </xf>
    <xf numFmtId="0" fontId="16" fillId="0" borderId="16" xfId="60" applyNumberFormat="1" applyFont="1" applyFill="1" applyBorder="1" applyAlignment="1">
      <alignment horizontal="center" vertical="top" wrapText="1"/>
      <protection/>
    </xf>
    <xf numFmtId="174" fontId="16" fillId="0" borderId="16" xfId="59" applyNumberFormat="1" applyFont="1" applyFill="1" applyBorder="1" applyAlignment="1">
      <alignment horizontal="center" vertical="top" wrapText="1"/>
      <protection/>
    </xf>
    <xf numFmtId="10" fontId="16" fillId="0" borderId="16" xfId="59" applyNumberFormat="1" applyFont="1" applyFill="1" applyBorder="1" applyAlignment="1">
      <alignment horizontal="center" vertical="top" wrapText="1"/>
      <protection/>
    </xf>
    <xf numFmtId="3" fontId="16" fillId="0" borderId="16" xfId="59" applyNumberFormat="1" applyFont="1" applyFill="1" applyBorder="1" applyAlignment="1">
      <alignment horizontal="center" vertical="top" wrapText="1"/>
      <protection/>
    </xf>
    <xf numFmtId="1" fontId="16" fillId="0" borderId="16" xfId="59" applyNumberFormat="1" applyFont="1" applyFill="1" applyBorder="1" applyAlignment="1">
      <alignment horizontal="center" vertical="top" wrapText="1"/>
      <protection/>
    </xf>
    <xf numFmtId="49" fontId="17" fillId="0" borderId="0" xfId="59" applyNumberFormat="1" applyFont="1" applyFill="1" applyBorder="1" applyAlignment="1">
      <alignment horizontal="center" vertical="top" wrapText="1"/>
      <protection/>
    </xf>
    <xf numFmtId="174" fontId="17" fillId="0" borderId="0" xfId="59" applyNumberFormat="1" applyFont="1" applyFill="1" applyBorder="1" applyAlignment="1">
      <alignment horizontal="center" vertical="top" wrapText="1"/>
      <protection/>
    </xf>
    <xf numFmtId="0" fontId="2" fillId="0" borderId="0" xfId="59" applyFont="1" applyFill="1" applyBorder="1" applyAlignment="1">
      <alignment vertical="top" wrapText="1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17" fillId="0" borderId="19" xfId="59" applyFont="1" applyFill="1" applyBorder="1" applyAlignment="1">
      <alignment horizontal="center" vertical="center" wrapText="1"/>
      <protection/>
    </xf>
    <xf numFmtId="0" fontId="17" fillId="0" borderId="19" xfId="59" applyFont="1" applyFill="1" applyBorder="1" applyAlignment="1">
      <alignment horizontal="center" wrapText="1"/>
      <protection/>
    </xf>
    <xf numFmtId="0" fontId="17" fillId="0" borderId="22" xfId="59" applyFont="1" applyFill="1" applyBorder="1" applyAlignment="1">
      <alignment horizontal="center" wrapText="1"/>
      <protection/>
    </xf>
    <xf numFmtId="49" fontId="17" fillId="0" borderId="0" xfId="59" applyNumberFormat="1" applyFont="1" applyFill="1" applyBorder="1" applyAlignment="1">
      <alignment horizontal="center" vertical="top" wrapText="1"/>
      <protection/>
    </xf>
    <xf numFmtId="174" fontId="17" fillId="0" borderId="0" xfId="59" applyNumberFormat="1" applyFont="1" applyFill="1" applyBorder="1" applyAlignment="1">
      <alignment horizontal="center" vertical="top" wrapText="1"/>
      <protection/>
    </xf>
    <xf numFmtId="0" fontId="15" fillId="0" borderId="0" xfId="59" applyFont="1" applyFill="1" applyBorder="1" applyAlignment="1">
      <alignment horizontal="center" vertical="center" wrapText="1"/>
      <protection/>
    </xf>
    <xf numFmtId="0" fontId="18" fillId="0" borderId="32" xfId="59" applyFont="1" applyFill="1" applyBorder="1" applyAlignment="1">
      <alignment horizontal="center" vertical="center" wrapText="1"/>
      <protection/>
    </xf>
    <xf numFmtId="0" fontId="18" fillId="0" borderId="17" xfId="59" applyFont="1" applyFill="1" applyBorder="1" applyAlignment="1">
      <alignment horizontal="center" vertical="center" wrapText="1"/>
      <protection/>
    </xf>
    <xf numFmtId="0" fontId="17" fillId="0" borderId="20" xfId="59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center" vertical="top" wrapText="1"/>
      <protection/>
    </xf>
    <xf numFmtId="0" fontId="18" fillId="0" borderId="30" xfId="59" applyFont="1" applyFill="1" applyBorder="1" applyAlignment="1">
      <alignment horizontal="center" vertical="center" wrapText="1"/>
      <protection/>
    </xf>
    <xf numFmtId="0" fontId="18" fillId="0" borderId="16" xfId="59" applyFont="1" applyFill="1" applyBorder="1" applyAlignment="1">
      <alignment horizontal="center" vertical="center" wrapText="1"/>
      <protection/>
    </xf>
    <xf numFmtId="0" fontId="18" fillId="0" borderId="33" xfId="59" applyFont="1" applyFill="1" applyBorder="1" applyAlignment="1">
      <alignment horizontal="center" vertical="center" wrapText="1"/>
      <protection/>
    </xf>
    <xf numFmtId="0" fontId="18" fillId="0" borderId="17" xfId="59" applyFont="1" applyFill="1" applyBorder="1" applyAlignment="1">
      <alignment horizontal="center" vertical="top" wrapText="1"/>
      <protection/>
    </xf>
    <xf numFmtId="0" fontId="18" fillId="0" borderId="16" xfId="59" applyFont="1" applyFill="1" applyBorder="1" applyAlignment="1">
      <alignment horizontal="center" vertical="top" wrapText="1"/>
      <protection/>
    </xf>
    <xf numFmtId="0" fontId="14" fillId="0" borderId="17" xfId="59" applyFont="1" applyFill="1" applyBorder="1" applyAlignment="1">
      <alignment horizontal="center" vertical="top" wrapText="1"/>
      <protection/>
    </xf>
    <xf numFmtId="0" fontId="18" fillId="0" borderId="12" xfId="59" applyFont="1" applyFill="1" applyBorder="1" applyAlignment="1">
      <alignment horizontal="center" vertical="center" wrapText="1"/>
      <protection/>
    </xf>
    <xf numFmtId="0" fontId="18" fillId="0" borderId="13" xfId="59" applyFont="1" applyFill="1" applyBorder="1" applyAlignment="1">
      <alignment horizontal="center" vertical="center" wrapText="1"/>
      <protection/>
    </xf>
    <xf numFmtId="49" fontId="17" fillId="0" borderId="15" xfId="59" applyNumberFormat="1" applyFont="1" applyFill="1" applyBorder="1" applyAlignment="1">
      <alignment horizontal="center" vertical="top" wrapText="1"/>
      <protection/>
    </xf>
    <xf numFmtId="174" fontId="17" fillId="0" borderId="15" xfId="59" applyNumberFormat="1" applyFont="1" applyFill="1" applyBorder="1" applyAlignment="1">
      <alignment horizontal="center"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[0] 2" xfId="53"/>
    <cellStyle name="Moneda [0] 3" xfId="54"/>
    <cellStyle name="Moneda 2" xfId="55"/>
    <cellStyle name="Neutral" xfId="56"/>
    <cellStyle name="Normal 2" xfId="57"/>
    <cellStyle name="Normal 2 2" xfId="58"/>
    <cellStyle name="Normal 3" xfId="59"/>
    <cellStyle name="Normal_Libro2" xfId="60"/>
    <cellStyle name="Notas" xfId="61"/>
    <cellStyle name="Percent" xfId="62"/>
    <cellStyle name="Porcentaje 2" xfId="63"/>
    <cellStyle name="Porcentual 2" xfId="64"/>
    <cellStyle name="Porcentual 3" xfId="65"/>
    <cellStyle name="Porcentual 6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AA67"/>
  <sheetViews>
    <sheetView showGridLines="0" view="pageBreakPreview" zoomScale="60" zoomScaleNormal="115" zoomScalePageLayoutView="0" workbookViewId="0" topLeftCell="A1">
      <selection activeCell="B53" sqref="B53:AA61"/>
    </sheetView>
  </sheetViews>
  <sheetFormatPr defaultColWidth="11.421875" defaultRowHeight="12.75"/>
  <cols>
    <col min="1" max="1" width="5.57421875" style="2" customWidth="1"/>
    <col min="2" max="2" width="8.8515625" style="4" customWidth="1"/>
    <col min="3" max="3" width="19.8515625" style="1" customWidth="1"/>
    <col min="4" max="4" width="4.00390625" style="2" customWidth="1"/>
    <col min="5" max="5" width="6.421875" style="2" customWidth="1"/>
    <col min="6" max="6" width="13.00390625" style="2" customWidth="1"/>
    <col min="7" max="7" width="51.28125" style="1" customWidth="1"/>
    <col min="8" max="8" width="11.140625" style="14" customWidth="1"/>
    <col min="9" max="9" width="13.421875" style="14" customWidth="1"/>
    <col min="10" max="10" width="17.140625" style="14" customWidth="1"/>
    <col min="11" max="11" width="3.28125" style="2" customWidth="1"/>
    <col min="12" max="12" width="4.57421875" style="2" customWidth="1"/>
    <col min="13" max="13" width="18.57421875" style="2" bestFit="1" customWidth="1"/>
    <col min="14" max="14" width="18.7109375" style="2" bestFit="1" customWidth="1"/>
    <col min="15" max="15" width="17.8515625" style="2" bestFit="1" customWidth="1"/>
    <col min="16" max="16" width="18.28125" style="2" bestFit="1" customWidth="1"/>
    <col min="17" max="17" width="16.140625" style="2" customWidth="1"/>
    <col min="18" max="18" width="9.140625" style="5" customWidth="1"/>
    <col min="19" max="19" width="9.57421875" style="2" customWidth="1"/>
    <col min="20" max="20" width="8.57421875" style="2" customWidth="1"/>
    <col min="21" max="21" width="9.7109375" style="6" customWidth="1"/>
    <col min="22" max="22" width="10.57421875" style="2" customWidth="1"/>
    <col min="23" max="23" width="9.7109375" style="6" customWidth="1"/>
    <col min="24" max="24" width="8.28125" style="2" customWidth="1"/>
    <col min="25" max="25" width="7.421875" style="2" customWidth="1"/>
    <col min="26" max="26" width="10.00390625" style="2" customWidth="1"/>
    <col min="27" max="27" width="24.57421875" style="1" customWidth="1"/>
    <col min="28" max="16384" width="11.421875" style="2" customWidth="1"/>
  </cols>
  <sheetData>
    <row r="1" ht="12.75"/>
    <row r="2" spans="2:27" s="29" customFormat="1" ht="43.5" customHeight="1">
      <c r="B2" s="207" t="s">
        <v>288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2:27" s="29" customFormat="1" ht="26.25" customHeight="1">
      <c r="B3" s="209" t="s">
        <v>199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ht="12.75">
      <c r="AA4" s="73" t="s">
        <v>287</v>
      </c>
    </row>
    <row r="5" spans="2:27" ht="12" customHeight="1">
      <c r="B5" s="205" t="s">
        <v>1</v>
      </c>
      <c r="C5" s="210" t="s">
        <v>2</v>
      </c>
      <c r="D5" s="205" t="s">
        <v>3</v>
      </c>
      <c r="E5" s="205"/>
      <c r="F5" s="205"/>
      <c r="G5" s="205" t="s">
        <v>4</v>
      </c>
      <c r="H5" s="205"/>
      <c r="I5" s="205"/>
      <c r="J5" s="205"/>
      <c r="K5" s="205" t="s">
        <v>5</v>
      </c>
      <c r="L5" s="205" t="s">
        <v>6</v>
      </c>
      <c r="M5" s="212" t="s">
        <v>131</v>
      </c>
      <c r="N5" s="212"/>
      <c r="O5" s="212"/>
      <c r="P5" s="212"/>
      <c r="Q5" s="212"/>
      <c r="R5" s="205" t="s">
        <v>7</v>
      </c>
      <c r="S5" s="205"/>
      <c r="T5" s="205"/>
      <c r="U5" s="205"/>
      <c r="V5" s="205"/>
      <c r="W5" s="205"/>
      <c r="X5" s="198" t="s">
        <v>97</v>
      </c>
      <c r="Y5" s="199"/>
      <c r="Z5" s="202" t="s">
        <v>234</v>
      </c>
      <c r="AA5" s="205" t="s">
        <v>8</v>
      </c>
    </row>
    <row r="6" spans="2:27" ht="25.5" customHeight="1">
      <c r="B6" s="205"/>
      <c r="C6" s="211"/>
      <c r="D6" s="205"/>
      <c r="E6" s="205"/>
      <c r="F6" s="205"/>
      <c r="G6" s="205" t="s">
        <v>9</v>
      </c>
      <c r="H6" s="205" t="s">
        <v>10</v>
      </c>
      <c r="I6" s="205"/>
      <c r="J6" s="205"/>
      <c r="K6" s="205"/>
      <c r="L6" s="205"/>
      <c r="M6" s="212"/>
      <c r="N6" s="212"/>
      <c r="O6" s="212"/>
      <c r="P6" s="212"/>
      <c r="Q6" s="212"/>
      <c r="R6" s="205" t="s">
        <v>11</v>
      </c>
      <c r="S6" s="205"/>
      <c r="T6" s="7" t="s">
        <v>12</v>
      </c>
      <c r="U6" s="206" t="s">
        <v>135</v>
      </c>
      <c r="V6" s="206"/>
      <c r="W6" s="7" t="s">
        <v>12</v>
      </c>
      <c r="X6" s="200"/>
      <c r="Y6" s="201"/>
      <c r="Z6" s="203"/>
      <c r="AA6" s="205"/>
    </row>
    <row r="7" spans="2:27" ht="38.25">
      <c r="B7" s="205"/>
      <c r="C7" s="8" t="s">
        <v>13</v>
      </c>
      <c r="D7" s="15" t="s">
        <v>14</v>
      </c>
      <c r="E7" s="9"/>
      <c r="F7" s="10" t="s">
        <v>15</v>
      </c>
      <c r="G7" s="205"/>
      <c r="H7" s="15" t="s">
        <v>16</v>
      </c>
      <c r="I7" s="15" t="s">
        <v>17</v>
      </c>
      <c r="J7" s="15" t="s">
        <v>18</v>
      </c>
      <c r="K7" s="205"/>
      <c r="L7" s="205"/>
      <c r="M7" s="15" t="s">
        <v>19</v>
      </c>
      <c r="N7" s="57" t="s">
        <v>289</v>
      </c>
      <c r="O7" s="15" t="s">
        <v>20</v>
      </c>
      <c r="P7" s="15" t="s">
        <v>21</v>
      </c>
      <c r="Q7" s="15" t="s">
        <v>22</v>
      </c>
      <c r="R7" s="15" t="s">
        <v>23</v>
      </c>
      <c r="S7" s="16" t="s">
        <v>24</v>
      </c>
      <c r="T7" s="11" t="s">
        <v>26</v>
      </c>
      <c r="U7" s="12" t="s">
        <v>25</v>
      </c>
      <c r="V7" s="16" t="s">
        <v>24</v>
      </c>
      <c r="W7" s="11" t="s">
        <v>136</v>
      </c>
      <c r="X7" s="13" t="s">
        <v>27</v>
      </c>
      <c r="Y7" s="13" t="s">
        <v>28</v>
      </c>
      <c r="Z7" s="204"/>
      <c r="AA7" s="205"/>
    </row>
    <row r="8" spans="2:27" s="26" customFormat="1" ht="23.25" customHeight="1">
      <c r="B8" s="195" t="s">
        <v>178</v>
      </c>
      <c r="C8" s="195"/>
      <c r="D8" s="195"/>
      <c r="E8" s="195"/>
      <c r="F8" s="195"/>
      <c r="G8" s="195"/>
      <c r="H8" s="195"/>
      <c r="I8" s="195"/>
      <c r="J8" s="195"/>
      <c r="K8" s="22"/>
      <c r="L8" s="22"/>
      <c r="M8" s="23">
        <f>M9+M16+M22+M31+M52</f>
        <v>509030749.73</v>
      </c>
      <c r="N8" s="23">
        <f>N9+N16+N22+N31+N52</f>
        <v>350000000.00359994</v>
      </c>
      <c r="O8" s="23">
        <f>O9+O16+O22+O31+O52</f>
        <v>134586475.4779</v>
      </c>
      <c r="P8" s="23">
        <f>P9+P16+P22+P31+P52</f>
        <v>24444274.252500005</v>
      </c>
      <c r="Q8" s="23">
        <f>Q9+Q16+Q22+Q31+Q52</f>
        <v>0</v>
      </c>
      <c r="R8" s="22"/>
      <c r="S8" s="24"/>
      <c r="T8" s="25"/>
      <c r="U8" s="25"/>
      <c r="V8" s="24"/>
      <c r="W8" s="25"/>
      <c r="X8" s="17"/>
      <c r="Y8" s="17"/>
      <c r="Z8" s="17"/>
      <c r="AA8" s="22"/>
    </row>
    <row r="9" spans="2:27" s="26" customFormat="1" ht="23.25" customHeight="1">
      <c r="B9" s="196" t="s">
        <v>175</v>
      </c>
      <c r="C9" s="196"/>
      <c r="D9" s="196"/>
      <c r="E9" s="196"/>
      <c r="F9" s="196"/>
      <c r="G9" s="196"/>
      <c r="H9" s="196"/>
      <c r="I9" s="196"/>
      <c r="J9" s="196"/>
      <c r="K9" s="20"/>
      <c r="L9" s="20"/>
      <c r="M9" s="27">
        <f>SUM(M10:M15)</f>
        <v>76132080.02000001</v>
      </c>
      <c r="N9" s="27">
        <f>SUM(N10:N15)</f>
        <v>53292456.015</v>
      </c>
      <c r="O9" s="27">
        <f>SUM(O10:O15)</f>
        <v>19033020.0025</v>
      </c>
      <c r="P9" s="27">
        <f>SUM(P10:P15)</f>
        <v>3806604.0030000005</v>
      </c>
      <c r="Q9" s="27">
        <f>SUM(Q10:Q15)</f>
        <v>0</v>
      </c>
      <c r="R9" s="20"/>
      <c r="S9" s="28"/>
      <c r="T9" s="21"/>
      <c r="U9" s="21"/>
      <c r="V9" s="28"/>
      <c r="W9" s="21"/>
      <c r="X9" s="18"/>
      <c r="Y9" s="18"/>
      <c r="Z9" s="18"/>
      <c r="AA9" s="20"/>
    </row>
    <row r="10" spans="2:27" s="30" customFormat="1" ht="144" customHeight="1">
      <c r="B10" s="75" t="s">
        <v>122</v>
      </c>
      <c r="C10" s="75" t="s">
        <v>36</v>
      </c>
      <c r="D10" s="76" t="s">
        <v>61</v>
      </c>
      <c r="E10" s="77" t="s">
        <v>140</v>
      </c>
      <c r="F10" s="78" t="s">
        <v>46</v>
      </c>
      <c r="G10" s="75" t="s">
        <v>200</v>
      </c>
      <c r="H10" s="78" t="s">
        <v>79</v>
      </c>
      <c r="I10" s="78" t="s">
        <v>80</v>
      </c>
      <c r="J10" s="78" t="s">
        <v>93</v>
      </c>
      <c r="K10" s="75" t="s">
        <v>81</v>
      </c>
      <c r="L10" s="75" t="s">
        <v>34</v>
      </c>
      <c r="M10" s="79">
        <v>9856284</v>
      </c>
      <c r="N10" s="79">
        <f>ROUND(M10*70%,2)</f>
        <v>6899398.8</v>
      </c>
      <c r="O10" s="79">
        <f>ROUND(M10*25%,2)</f>
        <v>2464071</v>
      </c>
      <c r="P10" s="79">
        <f>M10-N10-O10</f>
        <v>492814.2000000002</v>
      </c>
      <c r="Q10" s="79">
        <v>0</v>
      </c>
      <c r="R10" s="78" t="s">
        <v>134</v>
      </c>
      <c r="S10" s="80">
        <v>1</v>
      </c>
      <c r="T10" s="81">
        <v>0.1243</v>
      </c>
      <c r="U10" s="82">
        <f>V10/S10</f>
        <v>0.8757</v>
      </c>
      <c r="V10" s="83">
        <f>1-T10</f>
        <v>0.8757</v>
      </c>
      <c r="W10" s="82">
        <f>T10+U10</f>
        <v>1</v>
      </c>
      <c r="X10" s="84">
        <v>1854</v>
      </c>
      <c r="Y10" s="84">
        <v>1938</v>
      </c>
      <c r="Z10" s="85">
        <v>180</v>
      </c>
      <c r="AA10" s="86" t="s">
        <v>179</v>
      </c>
    </row>
    <row r="11" spans="2:27" s="30" customFormat="1" ht="89.25">
      <c r="B11" s="75" t="s">
        <v>128</v>
      </c>
      <c r="C11" s="78" t="s">
        <v>36</v>
      </c>
      <c r="D11" s="76" t="s">
        <v>63</v>
      </c>
      <c r="E11" s="77" t="s">
        <v>140</v>
      </c>
      <c r="F11" s="78" t="s">
        <v>46</v>
      </c>
      <c r="G11" s="75" t="s">
        <v>240</v>
      </c>
      <c r="H11" s="75" t="s">
        <v>219</v>
      </c>
      <c r="I11" s="78" t="s">
        <v>78</v>
      </c>
      <c r="J11" s="78" t="s">
        <v>98</v>
      </c>
      <c r="K11" s="75" t="s">
        <v>81</v>
      </c>
      <c r="L11" s="75" t="s">
        <v>34</v>
      </c>
      <c r="M11" s="79">
        <v>7686146.36</v>
      </c>
      <c r="N11" s="79">
        <f>ROUND(M11*70%,2)</f>
        <v>5380302.45</v>
      </c>
      <c r="O11" s="79">
        <f>ROUND(M11*25%,2)</f>
        <v>1921536.59</v>
      </c>
      <c r="P11" s="79">
        <f>M11-N11-O11</f>
        <v>384307.32000000007</v>
      </c>
      <c r="Q11" s="79">
        <v>0</v>
      </c>
      <c r="R11" s="78" t="s">
        <v>134</v>
      </c>
      <c r="S11" s="80">
        <v>1</v>
      </c>
      <c r="T11" s="81">
        <v>0.7</v>
      </c>
      <c r="U11" s="82">
        <f>V11/S11</f>
        <v>0.3</v>
      </c>
      <c r="V11" s="83">
        <v>0.3</v>
      </c>
      <c r="W11" s="82">
        <f>T11+U11</f>
        <v>1</v>
      </c>
      <c r="X11" s="84">
        <v>681</v>
      </c>
      <c r="Y11" s="84">
        <v>722</v>
      </c>
      <c r="Z11" s="85">
        <v>180</v>
      </c>
      <c r="AA11" s="86" t="s">
        <v>161</v>
      </c>
    </row>
    <row r="12" spans="2:27" s="30" customFormat="1" ht="76.5">
      <c r="B12" s="75" t="s">
        <v>235</v>
      </c>
      <c r="C12" s="78" t="s">
        <v>36</v>
      </c>
      <c r="D12" s="76" t="s">
        <v>63</v>
      </c>
      <c r="E12" s="77" t="s">
        <v>140</v>
      </c>
      <c r="F12" s="78" t="s">
        <v>46</v>
      </c>
      <c r="G12" s="75" t="s">
        <v>241</v>
      </c>
      <c r="H12" s="75" t="s">
        <v>219</v>
      </c>
      <c r="I12" s="78" t="s">
        <v>78</v>
      </c>
      <c r="J12" s="78" t="s">
        <v>85</v>
      </c>
      <c r="K12" s="75" t="s">
        <v>81</v>
      </c>
      <c r="L12" s="78" t="s">
        <v>34</v>
      </c>
      <c r="M12" s="79">
        <v>6823921.8</v>
      </c>
      <c r="N12" s="79">
        <f>M12*0.7</f>
        <v>4776745.26</v>
      </c>
      <c r="O12" s="79">
        <f>M12*0.25</f>
        <v>1705980.45</v>
      </c>
      <c r="P12" s="79">
        <f>M12*0.05</f>
        <v>341196.09</v>
      </c>
      <c r="Q12" s="79">
        <v>0</v>
      </c>
      <c r="R12" s="78" t="s">
        <v>134</v>
      </c>
      <c r="S12" s="80">
        <v>1</v>
      </c>
      <c r="T12" s="81">
        <v>0.5</v>
      </c>
      <c r="U12" s="82">
        <f>V12/S12</f>
        <v>0.5</v>
      </c>
      <c r="V12" s="83">
        <v>0.5</v>
      </c>
      <c r="W12" s="82">
        <f>T12+U12</f>
        <v>1</v>
      </c>
      <c r="X12" s="84">
        <v>809</v>
      </c>
      <c r="Y12" s="84">
        <v>866</v>
      </c>
      <c r="Z12" s="85">
        <v>180</v>
      </c>
      <c r="AA12" s="86" t="s">
        <v>162</v>
      </c>
    </row>
    <row r="13" spans="2:27" s="30" customFormat="1" ht="76.5">
      <c r="B13" s="75" t="s">
        <v>123</v>
      </c>
      <c r="C13" s="78" t="s">
        <v>36</v>
      </c>
      <c r="D13" s="76" t="s">
        <v>30</v>
      </c>
      <c r="E13" s="77" t="s">
        <v>31</v>
      </c>
      <c r="F13" s="78" t="s">
        <v>32</v>
      </c>
      <c r="G13" s="75" t="s">
        <v>242</v>
      </c>
      <c r="H13" s="78" t="s">
        <v>33</v>
      </c>
      <c r="I13" s="78" t="s">
        <v>71</v>
      </c>
      <c r="J13" s="78" t="s">
        <v>72</v>
      </c>
      <c r="K13" s="75" t="s">
        <v>81</v>
      </c>
      <c r="L13" s="75" t="s">
        <v>34</v>
      </c>
      <c r="M13" s="79">
        <v>12487977.65</v>
      </c>
      <c r="N13" s="79">
        <f>M13*0.7</f>
        <v>8741584.355</v>
      </c>
      <c r="O13" s="79">
        <f>M13*0.25</f>
        <v>3121994.4125</v>
      </c>
      <c r="P13" s="79">
        <f>M13*0.05</f>
        <v>624398.8825000001</v>
      </c>
      <c r="Q13" s="79">
        <v>0</v>
      </c>
      <c r="R13" s="78" t="s">
        <v>35</v>
      </c>
      <c r="S13" s="80">
        <v>8.11262</v>
      </c>
      <c r="T13" s="81">
        <f>6.28/S13</f>
        <v>0.7741025710559598</v>
      </c>
      <c r="U13" s="82">
        <f>V13/S13</f>
        <v>0.22589742894404022</v>
      </c>
      <c r="V13" s="83">
        <f>8.11262-6.28</f>
        <v>1.8326199999999995</v>
      </c>
      <c r="W13" s="82">
        <f>T13+U13</f>
        <v>1</v>
      </c>
      <c r="X13" s="84" t="s">
        <v>99</v>
      </c>
      <c r="Y13" s="84" t="s">
        <v>100</v>
      </c>
      <c r="Z13" s="85">
        <v>240</v>
      </c>
      <c r="AA13" s="75" t="s">
        <v>220</v>
      </c>
    </row>
    <row r="14" spans="2:27" s="33" customFormat="1" ht="76.5">
      <c r="B14" s="87" t="s">
        <v>209</v>
      </c>
      <c r="C14" s="78" t="s">
        <v>36</v>
      </c>
      <c r="D14" s="88" t="s">
        <v>30</v>
      </c>
      <c r="E14" s="87" t="s">
        <v>31</v>
      </c>
      <c r="F14" s="87" t="s">
        <v>32</v>
      </c>
      <c r="G14" s="89" t="s">
        <v>215</v>
      </c>
      <c r="H14" s="87" t="s">
        <v>172</v>
      </c>
      <c r="I14" s="90" t="s">
        <v>210</v>
      </c>
      <c r="J14" s="90" t="s">
        <v>211</v>
      </c>
      <c r="K14" s="89" t="s">
        <v>81</v>
      </c>
      <c r="L14" s="87" t="s">
        <v>34</v>
      </c>
      <c r="M14" s="91">
        <v>18076007.01</v>
      </c>
      <c r="N14" s="92">
        <f>ROUND(M14*70%,2)</f>
        <v>12653204.91</v>
      </c>
      <c r="O14" s="92">
        <f>ROUND(M14*25%,2)</f>
        <v>4519001.75</v>
      </c>
      <c r="P14" s="92">
        <f>M14*5%</f>
        <v>903800.3505000002</v>
      </c>
      <c r="Q14" s="91">
        <v>0</v>
      </c>
      <c r="R14" s="88" t="s">
        <v>35</v>
      </c>
      <c r="S14" s="93">
        <v>13.5</v>
      </c>
      <c r="T14" s="94">
        <v>0.8148</v>
      </c>
      <c r="U14" s="95">
        <v>0.1852</v>
      </c>
      <c r="V14" s="96">
        <v>2.5</v>
      </c>
      <c r="W14" s="95">
        <f>T14+U14</f>
        <v>1</v>
      </c>
      <c r="X14" s="97" t="s">
        <v>212</v>
      </c>
      <c r="Y14" s="97" t="s">
        <v>213</v>
      </c>
      <c r="Z14" s="98">
        <v>180</v>
      </c>
      <c r="AA14" s="99" t="s">
        <v>220</v>
      </c>
    </row>
    <row r="15" spans="2:27" s="19" customFormat="1" ht="165.75">
      <c r="B15" s="75" t="s">
        <v>137</v>
      </c>
      <c r="C15" s="75" t="s">
        <v>36</v>
      </c>
      <c r="D15" s="76" t="s">
        <v>63</v>
      </c>
      <c r="E15" s="77" t="s">
        <v>140</v>
      </c>
      <c r="F15" s="78" t="s">
        <v>46</v>
      </c>
      <c r="G15" s="75" t="s">
        <v>243</v>
      </c>
      <c r="H15" s="78"/>
      <c r="I15" s="78" t="s">
        <v>90</v>
      </c>
      <c r="J15" s="75" t="s">
        <v>167</v>
      </c>
      <c r="K15" s="78" t="s">
        <v>81</v>
      </c>
      <c r="L15" s="78" t="s">
        <v>34</v>
      </c>
      <c r="M15" s="79">
        <v>21201743.2</v>
      </c>
      <c r="N15" s="79">
        <f>M15*0.7</f>
        <v>14841220.239999998</v>
      </c>
      <c r="O15" s="79">
        <f>M15*0.25</f>
        <v>5300435.8</v>
      </c>
      <c r="P15" s="79">
        <f>M15*0.05</f>
        <v>1060087.16</v>
      </c>
      <c r="Q15" s="79">
        <v>0</v>
      </c>
      <c r="R15" s="78" t="s">
        <v>134</v>
      </c>
      <c r="S15" s="80">
        <v>1</v>
      </c>
      <c r="T15" s="81">
        <v>0.382</v>
      </c>
      <c r="U15" s="82">
        <v>0.618</v>
      </c>
      <c r="V15" s="100">
        <v>1</v>
      </c>
      <c r="W15" s="82">
        <v>1</v>
      </c>
      <c r="X15" s="84" t="s">
        <v>116</v>
      </c>
      <c r="Y15" s="84" t="s">
        <v>117</v>
      </c>
      <c r="Z15" s="85">
        <v>180</v>
      </c>
      <c r="AA15" s="86" t="s">
        <v>180</v>
      </c>
    </row>
    <row r="16" spans="2:27" ht="19.5" customHeight="1">
      <c r="B16" s="194"/>
      <c r="C16" s="194"/>
      <c r="D16" s="194"/>
      <c r="E16" s="194"/>
      <c r="F16" s="194"/>
      <c r="G16" s="194"/>
      <c r="H16" s="194"/>
      <c r="I16" s="194"/>
      <c r="J16" s="194"/>
      <c r="K16" s="45"/>
      <c r="L16" s="45"/>
      <c r="M16" s="46">
        <f>SUM(M18:M21)</f>
        <v>84090254.72999999</v>
      </c>
      <c r="N16" s="46">
        <f>SUM(N18:N21)</f>
        <v>58863178.31099999</v>
      </c>
      <c r="O16" s="46">
        <f>SUM(O18:O21)</f>
        <v>21022563.682499997</v>
      </c>
      <c r="P16" s="46">
        <f>SUM(P18:P21)</f>
        <v>4204512.7365</v>
      </c>
      <c r="Q16" s="46">
        <f>SUM(Q18:Q21)</f>
        <v>0</v>
      </c>
      <c r="R16" s="45"/>
      <c r="S16" s="47"/>
      <c r="T16" s="48"/>
      <c r="U16" s="48"/>
      <c r="V16" s="47"/>
      <c r="W16" s="48"/>
      <c r="X16" s="49"/>
      <c r="Y16" s="49"/>
      <c r="Z16" s="49"/>
      <c r="AA16" s="45"/>
    </row>
    <row r="17" spans="2:27" ht="46.5" customHeight="1">
      <c r="B17" s="197" t="s">
        <v>248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</row>
    <row r="18" spans="2:27" s="30" customFormat="1" ht="63.75">
      <c r="B18" s="78" t="s">
        <v>126</v>
      </c>
      <c r="C18" s="78" t="s">
        <v>36</v>
      </c>
      <c r="D18" s="76" t="s">
        <v>54</v>
      </c>
      <c r="E18" s="77" t="s">
        <v>31</v>
      </c>
      <c r="F18" s="78" t="s">
        <v>46</v>
      </c>
      <c r="G18" s="75" t="s">
        <v>201</v>
      </c>
      <c r="H18" s="78" t="s">
        <v>33</v>
      </c>
      <c r="I18" s="78" t="s">
        <v>55</v>
      </c>
      <c r="J18" s="78" t="s">
        <v>66</v>
      </c>
      <c r="K18" s="78" t="s">
        <v>34</v>
      </c>
      <c r="L18" s="78" t="s">
        <v>34</v>
      </c>
      <c r="M18" s="79">
        <v>16443172.24</v>
      </c>
      <c r="N18" s="79">
        <f>M18*0.7</f>
        <v>11510220.568</v>
      </c>
      <c r="O18" s="79">
        <f>M18*0.25</f>
        <v>4110793.06</v>
      </c>
      <c r="P18" s="79">
        <f>M18*0.05</f>
        <v>822158.6120000001</v>
      </c>
      <c r="Q18" s="79">
        <v>0</v>
      </c>
      <c r="R18" s="78" t="s">
        <v>35</v>
      </c>
      <c r="S18" s="80">
        <v>7.026</v>
      </c>
      <c r="T18" s="81">
        <f>1/S18</f>
        <v>0.14232849416453175</v>
      </c>
      <c r="U18" s="82">
        <f aca="true" t="shared" si="0" ref="U18:U29">V18/S18</f>
        <v>0.569313976658127</v>
      </c>
      <c r="V18" s="83">
        <f>5-1</f>
        <v>4</v>
      </c>
      <c r="W18" s="82">
        <f>T18+U18</f>
        <v>0.7116424708226587</v>
      </c>
      <c r="X18" s="84" t="s">
        <v>103</v>
      </c>
      <c r="Y18" s="84" t="s">
        <v>104</v>
      </c>
      <c r="Z18" s="85">
        <v>240</v>
      </c>
      <c r="AA18" s="75" t="s">
        <v>221</v>
      </c>
    </row>
    <row r="19" spans="2:27" s="30" customFormat="1" ht="102">
      <c r="B19" s="78" t="s">
        <v>56</v>
      </c>
      <c r="C19" s="78" t="s">
        <v>36</v>
      </c>
      <c r="D19" s="76" t="s">
        <v>30</v>
      </c>
      <c r="E19" s="77" t="s">
        <v>31</v>
      </c>
      <c r="F19" s="78" t="s">
        <v>32</v>
      </c>
      <c r="G19" s="75" t="s">
        <v>202</v>
      </c>
      <c r="H19" s="78" t="s">
        <v>33</v>
      </c>
      <c r="I19" s="78" t="s">
        <v>57</v>
      </c>
      <c r="J19" s="78" t="s">
        <v>58</v>
      </c>
      <c r="K19" s="78" t="s">
        <v>34</v>
      </c>
      <c r="L19" s="78" t="s">
        <v>34</v>
      </c>
      <c r="M19" s="79">
        <v>35847839.33</v>
      </c>
      <c r="N19" s="79">
        <f>M19*0.7</f>
        <v>25093487.530999996</v>
      </c>
      <c r="O19" s="79">
        <f>M19*0.25</f>
        <v>8961959.8325</v>
      </c>
      <c r="P19" s="79">
        <f>M19*0.05</f>
        <v>1792391.9665</v>
      </c>
      <c r="Q19" s="79">
        <v>0</v>
      </c>
      <c r="R19" s="78" t="s">
        <v>35</v>
      </c>
      <c r="S19" s="80">
        <v>15</v>
      </c>
      <c r="T19" s="81">
        <f>9/S19</f>
        <v>0.6</v>
      </c>
      <c r="U19" s="82">
        <f t="shared" si="0"/>
        <v>0.2</v>
      </c>
      <c r="V19" s="83">
        <v>3</v>
      </c>
      <c r="W19" s="82">
        <f>T19+U19</f>
        <v>0.8</v>
      </c>
      <c r="X19" s="84" t="s">
        <v>59</v>
      </c>
      <c r="Y19" s="84" t="s">
        <v>60</v>
      </c>
      <c r="Z19" s="85">
        <v>240</v>
      </c>
      <c r="AA19" s="75" t="s">
        <v>220</v>
      </c>
    </row>
    <row r="20" spans="2:27" s="30" customFormat="1" ht="76.5">
      <c r="B20" s="78" t="s">
        <v>125</v>
      </c>
      <c r="C20" s="78" t="s">
        <v>36</v>
      </c>
      <c r="D20" s="76" t="s">
        <v>30</v>
      </c>
      <c r="E20" s="77" t="s">
        <v>31</v>
      </c>
      <c r="F20" s="78" t="s">
        <v>32</v>
      </c>
      <c r="G20" s="75" t="s">
        <v>244</v>
      </c>
      <c r="H20" s="78" t="s">
        <v>64</v>
      </c>
      <c r="I20" s="78" t="s">
        <v>70</v>
      </c>
      <c r="J20" s="78" t="s">
        <v>143</v>
      </c>
      <c r="K20" s="78" t="s">
        <v>34</v>
      </c>
      <c r="L20" s="78" t="s">
        <v>34</v>
      </c>
      <c r="M20" s="79">
        <v>21653555.47</v>
      </c>
      <c r="N20" s="79">
        <f>M20*0.7</f>
        <v>15157488.828999998</v>
      </c>
      <c r="O20" s="79">
        <f>M20*0.25</f>
        <v>5413388.8675</v>
      </c>
      <c r="P20" s="79">
        <f>M20*0.05</f>
        <v>1082677.7735</v>
      </c>
      <c r="Q20" s="79">
        <v>0</v>
      </c>
      <c r="R20" s="78" t="s">
        <v>35</v>
      </c>
      <c r="S20" s="80">
        <v>10.45</v>
      </c>
      <c r="T20" s="81">
        <f>5.35/S20</f>
        <v>0.5119617224880383</v>
      </c>
      <c r="U20" s="82">
        <f>V20/S20</f>
        <v>0.28708133971291866</v>
      </c>
      <c r="V20" s="83">
        <f>8.35-5.35</f>
        <v>3</v>
      </c>
      <c r="W20" s="82">
        <f>T20+U20</f>
        <v>0.799043062200957</v>
      </c>
      <c r="X20" s="84">
        <v>51</v>
      </c>
      <c r="Y20" s="84">
        <v>57</v>
      </c>
      <c r="Z20" s="85">
        <v>240</v>
      </c>
      <c r="AA20" s="75" t="s">
        <v>220</v>
      </c>
    </row>
    <row r="21" spans="2:27" s="30" customFormat="1" ht="84" customHeight="1">
      <c r="B21" s="78" t="s">
        <v>124</v>
      </c>
      <c r="C21" s="78" t="s">
        <v>36</v>
      </c>
      <c r="D21" s="76" t="s">
        <v>30</v>
      </c>
      <c r="E21" s="77" t="s">
        <v>31</v>
      </c>
      <c r="F21" s="78" t="s">
        <v>67</v>
      </c>
      <c r="G21" s="75" t="s">
        <v>297</v>
      </c>
      <c r="H21" s="78" t="s">
        <v>33</v>
      </c>
      <c r="I21" s="78" t="s">
        <v>144</v>
      </c>
      <c r="J21" s="78" t="s">
        <v>145</v>
      </c>
      <c r="K21" s="78" t="s">
        <v>34</v>
      </c>
      <c r="L21" s="78" t="s">
        <v>34</v>
      </c>
      <c r="M21" s="79">
        <v>10145687.69</v>
      </c>
      <c r="N21" s="79">
        <f>M21*0.7</f>
        <v>7101981.382999999</v>
      </c>
      <c r="O21" s="79">
        <f>M21*0.25</f>
        <v>2536421.9225</v>
      </c>
      <c r="P21" s="79">
        <f>M21*0.05</f>
        <v>507284.3845</v>
      </c>
      <c r="Q21" s="79">
        <v>0</v>
      </c>
      <c r="R21" s="78" t="s">
        <v>35</v>
      </c>
      <c r="S21" s="80">
        <v>8.29</v>
      </c>
      <c r="T21" s="81">
        <f>1/S21</f>
        <v>0.12062726176115804</v>
      </c>
      <c r="U21" s="82">
        <f>V21/S21</f>
        <v>0.12062726176115804</v>
      </c>
      <c r="V21" s="83">
        <v>1</v>
      </c>
      <c r="W21" s="82">
        <f>T21+U21</f>
        <v>0.24125452352231608</v>
      </c>
      <c r="X21" s="84" t="s">
        <v>105</v>
      </c>
      <c r="Y21" s="84" t="s">
        <v>106</v>
      </c>
      <c r="Z21" s="85">
        <v>180</v>
      </c>
      <c r="AA21" s="75" t="s">
        <v>220</v>
      </c>
    </row>
    <row r="22" spans="2:27" ht="48" customHeight="1">
      <c r="B22" s="194"/>
      <c r="C22" s="194"/>
      <c r="D22" s="194"/>
      <c r="E22" s="194"/>
      <c r="F22" s="194"/>
      <c r="G22" s="194"/>
      <c r="H22" s="194"/>
      <c r="I22" s="194"/>
      <c r="J22" s="194"/>
      <c r="K22" s="45"/>
      <c r="L22" s="45"/>
      <c r="M22" s="50">
        <f>SUM(M24:M30)</f>
        <v>103823937.1</v>
      </c>
      <c r="N22" s="50">
        <f>SUM(N24:N30)</f>
        <v>72676755.97099999</v>
      </c>
      <c r="O22" s="50">
        <f>SUM(O24:O30)</f>
        <v>25955984.2775</v>
      </c>
      <c r="P22" s="50">
        <f>SUM(P24:P30)</f>
        <v>5191196.855</v>
      </c>
      <c r="Q22" s="50">
        <f>SUM(Q24:Q30)</f>
        <v>0</v>
      </c>
      <c r="R22" s="45"/>
      <c r="S22" s="47"/>
      <c r="T22" s="48"/>
      <c r="U22" s="48"/>
      <c r="V22" s="47"/>
      <c r="W22" s="48"/>
      <c r="X22" s="49"/>
      <c r="Y22" s="49"/>
      <c r="Z22" s="49"/>
      <c r="AA22" s="45"/>
    </row>
    <row r="23" spans="2:27" ht="15.75">
      <c r="B23" s="197" t="s">
        <v>249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</row>
    <row r="24" spans="2:27" s="30" customFormat="1" ht="76.5" hidden="1">
      <c r="B24" s="37" t="s">
        <v>48</v>
      </c>
      <c r="C24" s="37" t="s">
        <v>36</v>
      </c>
      <c r="D24" s="35" t="s">
        <v>30</v>
      </c>
      <c r="E24" s="36" t="s">
        <v>31</v>
      </c>
      <c r="F24" s="37" t="s">
        <v>32</v>
      </c>
      <c r="G24" s="37" t="s">
        <v>181</v>
      </c>
      <c r="H24" s="37" t="s">
        <v>33</v>
      </c>
      <c r="I24" s="37" t="s">
        <v>45</v>
      </c>
      <c r="J24" s="37" t="s">
        <v>49</v>
      </c>
      <c r="K24" s="37" t="s">
        <v>34</v>
      </c>
      <c r="L24" s="37" t="s">
        <v>34</v>
      </c>
      <c r="M24" s="38"/>
      <c r="N24" s="38">
        <f aca="true" t="shared" si="1" ref="N24:N29">M24*0.7</f>
        <v>0</v>
      </c>
      <c r="O24" s="38">
        <f aca="true" t="shared" si="2" ref="O24:O29">M24*0.25</f>
        <v>0</v>
      </c>
      <c r="P24" s="38">
        <f aca="true" t="shared" si="3" ref="P24:P29">M24*0.05</f>
        <v>0</v>
      </c>
      <c r="Q24" s="38">
        <v>0</v>
      </c>
      <c r="R24" s="37" t="s">
        <v>35</v>
      </c>
      <c r="S24" s="39">
        <v>30</v>
      </c>
      <c r="T24" s="40">
        <f>8.5/S24</f>
        <v>0.2833333333333333</v>
      </c>
      <c r="U24" s="41">
        <f t="shared" si="0"/>
        <v>0.1</v>
      </c>
      <c r="V24" s="42">
        <f>11.5-8.5</f>
        <v>3</v>
      </c>
      <c r="W24" s="41">
        <f aca="true" t="shared" si="4" ref="W24:W30">T24+U24</f>
        <v>0.3833333333333333</v>
      </c>
      <c r="X24" s="43" t="s">
        <v>50</v>
      </c>
      <c r="Y24" s="43" t="s">
        <v>51</v>
      </c>
      <c r="Z24" s="44">
        <v>240</v>
      </c>
      <c r="AA24" s="34" t="s">
        <v>220</v>
      </c>
    </row>
    <row r="25" spans="2:27" s="30" customFormat="1" ht="179.25" customHeight="1">
      <c r="B25" s="78" t="s">
        <v>42</v>
      </c>
      <c r="C25" s="78" t="s">
        <v>36</v>
      </c>
      <c r="D25" s="76" t="s">
        <v>30</v>
      </c>
      <c r="E25" s="77" t="s">
        <v>31</v>
      </c>
      <c r="F25" s="78" t="s">
        <v>32</v>
      </c>
      <c r="G25" s="75" t="s">
        <v>239</v>
      </c>
      <c r="H25" s="78" t="s">
        <v>33</v>
      </c>
      <c r="I25" s="78" t="s">
        <v>43</v>
      </c>
      <c r="J25" s="78" t="s">
        <v>44</v>
      </c>
      <c r="K25" s="78" t="s">
        <v>34</v>
      </c>
      <c r="L25" s="78" t="s">
        <v>34</v>
      </c>
      <c r="M25" s="79">
        <v>20698274.53</v>
      </c>
      <c r="N25" s="79">
        <f t="shared" si="1"/>
        <v>14488792.171</v>
      </c>
      <c r="O25" s="79">
        <f t="shared" si="2"/>
        <v>5174568.6325</v>
      </c>
      <c r="P25" s="79">
        <f t="shared" si="3"/>
        <v>1034913.7265000001</v>
      </c>
      <c r="Q25" s="79">
        <v>0</v>
      </c>
      <c r="R25" s="78" t="s">
        <v>35</v>
      </c>
      <c r="S25" s="80">
        <v>39</v>
      </c>
      <c r="T25" s="81">
        <f>12/S25</f>
        <v>0.3076923076923077</v>
      </c>
      <c r="U25" s="82">
        <f t="shared" si="0"/>
        <v>0.05128205128205128</v>
      </c>
      <c r="V25" s="83">
        <v>2</v>
      </c>
      <c r="W25" s="82">
        <f t="shared" si="4"/>
        <v>0.358974358974359</v>
      </c>
      <c r="X25" s="84" t="s">
        <v>141</v>
      </c>
      <c r="Y25" s="84" t="s">
        <v>142</v>
      </c>
      <c r="Z25" s="85">
        <v>240</v>
      </c>
      <c r="AA25" s="75" t="s">
        <v>220</v>
      </c>
    </row>
    <row r="26" spans="2:27" s="30" customFormat="1" ht="127.5" hidden="1">
      <c r="B26" s="78" t="s">
        <v>37</v>
      </c>
      <c r="C26" s="78" t="s">
        <v>29</v>
      </c>
      <c r="D26" s="76" t="s">
        <v>30</v>
      </c>
      <c r="E26" s="77" t="s">
        <v>31</v>
      </c>
      <c r="F26" s="78" t="s">
        <v>32</v>
      </c>
      <c r="G26" s="78" t="s">
        <v>182</v>
      </c>
      <c r="H26" s="78" t="s">
        <v>33</v>
      </c>
      <c r="I26" s="78" t="s">
        <v>38</v>
      </c>
      <c r="J26" s="78" t="s">
        <v>39</v>
      </c>
      <c r="K26" s="78" t="s">
        <v>34</v>
      </c>
      <c r="L26" s="78" t="s">
        <v>34</v>
      </c>
      <c r="M26" s="79"/>
      <c r="N26" s="79">
        <f t="shared" si="1"/>
        <v>0</v>
      </c>
      <c r="O26" s="79">
        <f t="shared" si="2"/>
        <v>0</v>
      </c>
      <c r="P26" s="79">
        <f t="shared" si="3"/>
        <v>0</v>
      </c>
      <c r="Q26" s="79">
        <v>0</v>
      </c>
      <c r="R26" s="78" t="s">
        <v>35</v>
      </c>
      <c r="S26" s="80">
        <v>33.208</v>
      </c>
      <c r="T26" s="81">
        <v>0.5031</v>
      </c>
      <c r="U26" s="82">
        <f t="shared" si="0"/>
        <v>0.06022645145748013</v>
      </c>
      <c r="V26" s="83">
        <f>8-6</f>
        <v>2</v>
      </c>
      <c r="W26" s="82">
        <f t="shared" si="4"/>
        <v>0.5633264514574802</v>
      </c>
      <c r="X26" s="84" t="s">
        <v>40</v>
      </c>
      <c r="Y26" s="84" t="s">
        <v>41</v>
      </c>
      <c r="Z26" s="85">
        <v>180</v>
      </c>
      <c r="AA26" s="75" t="s">
        <v>220</v>
      </c>
    </row>
    <row r="27" spans="2:27" s="30" customFormat="1" ht="127.5">
      <c r="B27" s="78" t="s">
        <v>37</v>
      </c>
      <c r="C27" s="78" t="s">
        <v>36</v>
      </c>
      <c r="D27" s="76" t="s">
        <v>30</v>
      </c>
      <c r="E27" s="77" t="s">
        <v>31</v>
      </c>
      <c r="F27" s="78" t="s">
        <v>32</v>
      </c>
      <c r="G27" s="78" t="s">
        <v>251</v>
      </c>
      <c r="H27" s="78" t="s">
        <v>33</v>
      </c>
      <c r="I27" s="78" t="s">
        <v>38</v>
      </c>
      <c r="J27" s="78" t="s">
        <v>39</v>
      </c>
      <c r="K27" s="78" t="s">
        <v>34</v>
      </c>
      <c r="L27" s="78" t="s">
        <v>34</v>
      </c>
      <c r="M27" s="79">
        <v>24482664.5</v>
      </c>
      <c r="N27" s="79">
        <f t="shared" si="1"/>
        <v>17137865.15</v>
      </c>
      <c r="O27" s="79">
        <f t="shared" si="2"/>
        <v>6120666.125</v>
      </c>
      <c r="P27" s="79">
        <f t="shared" si="3"/>
        <v>1224133.225</v>
      </c>
      <c r="Q27" s="79">
        <v>0</v>
      </c>
      <c r="R27" s="78" t="s">
        <v>35</v>
      </c>
      <c r="S27" s="80">
        <v>33.20809</v>
      </c>
      <c r="T27" s="81">
        <f>(33.20809-25.5+6)/S27</f>
        <v>0.4127936897304241</v>
      </c>
      <c r="U27" s="82">
        <f>V27/S27</f>
        <v>0.09033943234916553</v>
      </c>
      <c r="V27" s="83">
        <f>25.5-22.5</f>
        <v>3</v>
      </c>
      <c r="W27" s="82">
        <f t="shared" si="4"/>
        <v>0.5031331220795896</v>
      </c>
      <c r="X27" s="84" t="s">
        <v>40</v>
      </c>
      <c r="Y27" s="84" t="s">
        <v>41</v>
      </c>
      <c r="Z27" s="85">
        <v>240</v>
      </c>
      <c r="AA27" s="77" t="s">
        <v>252</v>
      </c>
    </row>
    <row r="28" spans="2:27" s="30" customFormat="1" ht="76.5" customHeight="1">
      <c r="B28" s="78" t="s">
        <v>127</v>
      </c>
      <c r="C28" s="78" t="s">
        <v>36</v>
      </c>
      <c r="D28" s="76" t="s">
        <v>30</v>
      </c>
      <c r="E28" s="77" t="s">
        <v>31</v>
      </c>
      <c r="F28" s="78" t="s">
        <v>67</v>
      </c>
      <c r="G28" s="78" t="s">
        <v>185</v>
      </c>
      <c r="H28" s="78" t="s">
        <v>33</v>
      </c>
      <c r="I28" s="75" t="s">
        <v>222</v>
      </c>
      <c r="J28" s="78" t="s">
        <v>146</v>
      </c>
      <c r="K28" s="78" t="s">
        <v>34</v>
      </c>
      <c r="L28" s="78" t="s">
        <v>34</v>
      </c>
      <c r="M28" s="79">
        <v>20319761.9</v>
      </c>
      <c r="N28" s="79">
        <f t="shared" si="1"/>
        <v>14223833.329999998</v>
      </c>
      <c r="O28" s="79">
        <f t="shared" si="2"/>
        <v>5079940.475</v>
      </c>
      <c r="P28" s="79">
        <f t="shared" si="3"/>
        <v>1015988.095</v>
      </c>
      <c r="Q28" s="79">
        <v>0</v>
      </c>
      <c r="R28" s="78" t="s">
        <v>35</v>
      </c>
      <c r="S28" s="80">
        <v>25</v>
      </c>
      <c r="T28" s="81">
        <f>1/S28</f>
        <v>0.04</v>
      </c>
      <c r="U28" s="82">
        <f t="shared" si="0"/>
        <v>0.08</v>
      </c>
      <c r="V28" s="83">
        <f>3-1</f>
        <v>2</v>
      </c>
      <c r="W28" s="82">
        <f t="shared" si="4"/>
        <v>0.12</v>
      </c>
      <c r="X28" s="84" t="s">
        <v>132</v>
      </c>
      <c r="Y28" s="84" t="s">
        <v>133</v>
      </c>
      <c r="Z28" s="85">
        <v>210</v>
      </c>
      <c r="AA28" s="75" t="s">
        <v>220</v>
      </c>
    </row>
    <row r="29" spans="2:27" s="30" customFormat="1" ht="118.5" customHeight="1">
      <c r="B29" s="78" t="s">
        <v>130</v>
      </c>
      <c r="C29" s="78" t="s">
        <v>36</v>
      </c>
      <c r="D29" s="76" t="s">
        <v>30</v>
      </c>
      <c r="E29" s="77" t="s">
        <v>31</v>
      </c>
      <c r="F29" s="78" t="s">
        <v>32</v>
      </c>
      <c r="G29" s="78" t="s">
        <v>183</v>
      </c>
      <c r="H29" s="78" t="s">
        <v>33</v>
      </c>
      <c r="I29" s="78" t="s">
        <v>147</v>
      </c>
      <c r="J29" s="78" t="s">
        <v>148</v>
      </c>
      <c r="K29" s="78" t="s">
        <v>34</v>
      </c>
      <c r="L29" s="78" t="s">
        <v>34</v>
      </c>
      <c r="M29" s="79">
        <v>20782267.7</v>
      </c>
      <c r="N29" s="79">
        <f t="shared" si="1"/>
        <v>14547587.389999999</v>
      </c>
      <c r="O29" s="79">
        <f t="shared" si="2"/>
        <v>5195566.925</v>
      </c>
      <c r="P29" s="79">
        <f t="shared" si="3"/>
        <v>1039113.385</v>
      </c>
      <c r="Q29" s="79">
        <v>0</v>
      </c>
      <c r="R29" s="78" t="s">
        <v>35</v>
      </c>
      <c r="S29" s="80">
        <v>38</v>
      </c>
      <c r="T29" s="81">
        <f>3/S29</f>
        <v>0.07894736842105263</v>
      </c>
      <c r="U29" s="82">
        <f t="shared" si="0"/>
        <v>0.05736842105263157</v>
      </c>
      <c r="V29" s="83">
        <f>11.18-9</f>
        <v>2.1799999999999997</v>
      </c>
      <c r="W29" s="82">
        <f t="shared" si="4"/>
        <v>0.1363157894736842</v>
      </c>
      <c r="X29" s="84" t="s">
        <v>149</v>
      </c>
      <c r="Y29" s="84" t="s">
        <v>150</v>
      </c>
      <c r="Z29" s="85">
        <v>240</v>
      </c>
      <c r="AA29" s="75" t="s">
        <v>220</v>
      </c>
    </row>
    <row r="30" spans="2:27" ht="98.25" customHeight="1">
      <c r="B30" s="87" t="s">
        <v>214</v>
      </c>
      <c r="C30" s="78" t="s">
        <v>36</v>
      </c>
      <c r="D30" s="88" t="s">
        <v>30</v>
      </c>
      <c r="E30" s="87" t="s">
        <v>31</v>
      </c>
      <c r="F30" s="87" t="s">
        <v>32</v>
      </c>
      <c r="G30" s="89" t="s">
        <v>298</v>
      </c>
      <c r="H30" s="87" t="s">
        <v>33</v>
      </c>
      <c r="I30" s="90" t="s">
        <v>216</v>
      </c>
      <c r="J30" s="90" t="s">
        <v>223</v>
      </c>
      <c r="K30" s="87" t="s">
        <v>34</v>
      </c>
      <c r="L30" s="87" t="s">
        <v>34</v>
      </c>
      <c r="M30" s="91">
        <v>17540968.47</v>
      </c>
      <c r="N30" s="92">
        <f>ROUND(M30*70%,2)</f>
        <v>12278677.93</v>
      </c>
      <c r="O30" s="92">
        <f>ROUND(M30*25%,2)</f>
        <v>4385242.12</v>
      </c>
      <c r="P30" s="92">
        <f>M30*5%</f>
        <v>877048.4235</v>
      </c>
      <c r="Q30" s="101">
        <v>0</v>
      </c>
      <c r="R30" s="88" t="s">
        <v>35</v>
      </c>
      <c r="S30" s="102">
        <v>26.5</v>
      </c>
      <c r="T30" s="94">
        <v>0.718</v>
      </c>
      <c r="U30" s="95">
        <v>0.1509</v>
      </c>
      <c r="V30" s="96">
        <f>16.25-12.25</f>
        <v>4</v>
      </c>
      <c r="W30" s="95">
        <f t="shared" si="4"/>
        <v>0.8689</v>
      </c>
      <c r="X30" s="103" t="s">
        <v>217</v>
      </c>
      <c r="Y30" s="103" t="s">
        <v>218</v>
      </c>
      <c r="Z30" s="98">
        <v>240</v>
      </c>
      <c r="AA30" s="99" t="s">
        <v>220</v>
      </c>
    </row>
    <row r="31" spans="2:27" ht="23.25" customHeight="1">
      <c r="B31" s="194" t="s">
        <v>176</v>
      </c>
      <c r="C31" s="194"/>
      <c r="D31" s="194"/>
      <c r="E31" s="194"/>
      <c r="F31" s="194"/>
      <c r="G31" s="194"/>
      <c r="H31" s="194"/>
      <c r="I31" s="194"/>
      <c r="J31" s="194"/>
      <c r="K31" s="45"/>
      <c r="L31" s="45"/>
      <c r="M31" s="46">
        <f>SUM(M32:M51)</f>
        <v>133261292.53</v>
      </c>
      <c r="N31" s="46">
        <f>SUM(N32:N51)</f>
        <v>93282904.771</v>
      </c>
      <c r="O31" s="46">
        <f>SUM(O32:O51)</f>
        <v>34031459.021000005</v>
      </c>
      <c r="P31" s="46">
        <f>SUM(P32:P51)</f>
        <v>5946928.738000001</v>
      </c>
      <c r="Q31" s="46">
        <f>SUM(Q32:Q51)</f>
        <v>0</v>
      </c>
      <c r="R31" s="45"/>
      <c r="S31" s="47"/>
      <c r="T31" s="48"/>
      <c r="U31" s="48"/>
      <c r="V31" s="47"/>
      <c r="W31" s="48"/>
      <c r="X31" s="49"/>
      <c r="Y31" s="49"/>
      <c r="Z31" s="49"/>
      <c r="AA31" s="45"/>
    </row>
    <row r="32" spans="2:27" s="30" customFormat="1" ht="102">
      <c r="B32" s="104" t="s">
        <v>254</v>
      </c>
      <c r="C32" s="78" t="s">
        <v>36</v>
      </c>
      <c r="D32" s="105" t="s">
        <v>61</v>
      </c>
      <c r="E32" s="77" t="s">
        <v>140</v>
      </c>
      <c r="F32" s="78" t="s">
        <v>46</v>
      </c>
      <c r="G32" s="78" t="s">
        <v>184</v>
      </c>
      <c r="H32" s="78" t="s">
        <v>33</v>
      </c>
      <c r="I32" s="78" t="s">
        <v>55</v>
      </c>
      <c r="J32" s="78" t="s">
        <v>82</v>
      </c>
      <c r="K32" s="78" t="s">
        <v>47</v>
      </c>
      <c r="L32" s="78" t="s">
        <v>34</v>
      </c>
      <c r="M32" s="79">
        <v>1906421.08</v>
      </c>
      <c r="N32" s="79">
        <f aca="true" t="shared" si="5" ref="N32:N51">M32*0.7</f>
        <v>1334494.756</v>
      </c>
      <c r="O32" s="79">
        <f aca="true" t="shared" si="6" ref="O32:O45">M32*0.25</f>
        <v>476605.27</v>
      </c>
      <c r="P32" s="79">
        <f aca="true" t="shared" si="7" ref="P32:P45">M32*0.05</f>
        <v>95321.054</v>
      </c>
      <c r="Q32" s="79">
        <v>0</v>
      </c>
      <c r="R32" s="78" t="s">
        <v>134</v>
      </c>
      <c r="S32" s="106">
        <v>1</v>
      </c>
      <c r="T32" s="81">
        <v>0</v>
      </c>
      <c r="U32" s="82">
        <f aca="true" t="shared" si="8" ref="U32:U37">V32/S32</f>
        <v>1</v>
      </c>
      <c r="V32" s="100">
        <v>1</v>
      </c>
      <c r="W32" s="82">
        <f aca="true" t="shared" si="9" ref="W32:W37">T32+U32</f>
        <v>1</v>
      </c>
      <c r="X32" s="84">
        <v>1138</v>
      </c>
      <c r="Y32" s="84">
        <v>1230</v>
      </c>
      <c r="Z32" s="85">
        <v>180</v>
      </c>
      <c r="AA32" s="75" t="s">
        <v>224</v>
      </c>
    </row>
    <row r="33" spans="2:27" s="30" customFormat="1" ht="84.75" customHeight="1">
      <c r="B33" s="104" t="s">
        <v>255</v>
      </c>
      <c r="C33" s="78" t="s">
        <v>36</v>
      </c>
      <c r="D33" s="105" t="s">
        <v>61</v>
      </c>
      <c r="E33" s="77" t="s">
        <v>140</v>
      </c>
      <c r="F33" s="78" t="s">
        <v>46</v>
      </c>
      <c r="G33" s="78" t="s">
        <v>186</v>
      </c>
      <c r="H33" s="78" t="s">
        <v>33</v>
      </c>
      <c r="I33" s="78" t="s">
        <v>55</v>
      </c>
      <c r="J33" s="78" t="s">
        <v>151</v>
      </c>
      <c r="K33" s="75" t="s">
        <v>47</v>
      </c>
      <c r="L33" s="75" t="s">
        <v>34</v>
      </c>
      <c r="M33" s="79">
        <v>16320115.52</v>
      </c>
      <c r="N33" s="79">
        <f t="shared" si="5"/>
        <v>11424080.863999998</v>
      </c>
      <c r="O33" s="79">
        <f t="shared" si="6"/>
        <v>4080028.88</v>
      </c>
      <c r="P33" s="79">
        <f t="shared" si="7"/>
        <v>816005.7760000001</v>
      </c>
      <c r="Q33" s="79">
        <v>0</v>
      </c>
      <c r="R33" s="78" t="s">
        <v>134</v>
      </c>
      <c r="S33" s="106">
        <v>1</v>
      </c>
      <c r="T33" s="81">
        <v>0</v>
      </c>
      <c r="U33" s="82">
        <f t="shared" si="8"/>
        <v>1</v>
      </c>
      <c r="V33" s="100">
        <v>1</v>
      </c>
      <c r="W33" s="82">
        <f t="shared" si="9"/>
        <v>1</v>
      </c>
      <c r="X33" s="84">
        <v>90</v>
      </c>
      <c r="Y33" s="84">
        <v>81</v>
      </c>
      <c r="Z33" s="85">
        <v>180</v>
      </c>
      <c r="AA33" s="75" t="s">
        <v>225</v>
      </c>
    </row>
    <row r="34" spans="2:27" s="30" customFormat="1" ht="89.25">
      <c r="B34" s="104" t="s">
        <v>256</v>
      </c>
      <c r="C34" s="78" t="s">
        <v>36</v>
      </c>
      <c r="D34" s="105" t="s">
        <v>63</v>
      </c>
      <c r="E34" s="107" t="s">
        <v>140</v>
      </c>
      <c r="F34" s="78" t="s">
        <v>46</v>
      </c>
      <c r="G34" s="78" t="s">
        <v>187</v>
      </c>
      <c r="H34" s="78" t="s">
        <v>76</v>
      </c>
      <c r="I34" s="78" t="s">
        <v>78</v>
      </c>
      <c r="J34" s="78" t="s">
        <v>77</v>
      </c>
      <c r="K34" s="75" t="s">
        <v>47</v>
      </c>
      <c r="L34" s="78" t="s">
        <v>34</v>
      </c>
      <c r="M34" s="79">
        <v>8974276.93</v>
      </c>
      <c r="N34" s="79">
        <f t="shared" si="5"/>
        <v>6281993.851</v>
      </c>
      <c r="O34" s="79">
        <f t="shared" si="6"/>
        <v>2243569.2325</v>
      </c>
      <c r="P34" s="79">
        <f t="shared" si="7"/>
        <v>448713.8465</v>
      </c>
      <c r="Q34" s="79">
        <v>0</v>
      </c>
      <c r="R34" s="78" t="s">
        <v>134</v>
      </c>
      <c r="S34" s="106">
        <v>1</v>
      </c>
      <c r="T34" s="81">
        <v>0</v>
      </c>
      <c r="U34" s="82">
        <f t="shared" si="8"/>
        <v>1</v>
      </c>
      <c r="V34" s="100">
        <v>1</v>
      </c>
      <c r="W34" s="82">
        <f t="shared" si="9"/>
        <v>1</v>
      </c>
      <c r="X34" s="84">
        <v>306</v>
      </c>
      <c r="Y34" s="84">
        <v>321</v>
      </c>
      <c r="Z34" s="85">
        <v>210</v>
      </c>
      <c r="AA34" s="86" t="s">
        <v>164</v>
      </c>
    </row>
    <row r="35" spans="2:27" s="30" customFormat="1" ht="71.25" customHeight="1">
      <c r="B35" s="104" t="s">
        <v>257</v>
      </c>
      <c r="C35" s="78" t="s">
        <v>36</v>
      </c>
      <c r="D35" s="105" t="s">
        <v>63</v>
      </c>
      <c r="E35" s="78" t="s">
        <v>129</v>
      </c>
      <c r="F35" s="78" t="s">
        <v>46</v>
      </c>
      <c r="G35" s="78" t="s">
        <v>189</v>
      </c>
      <c r="H35" s="78" t="s">
        <v>33</v>
      </c>
      <c r="I35" s="78" t="s">
        <v>83</v>
      </c>
      <c r="J35" s="78" t="s">
        <v>110</v>
      </c>
      <c r="K35" s="78" t="s">
        <v>47</v>
      </c>
      <c r="L35" s="78" t="s">
        <v>34</v>
      </c>
      <c r="M35" s="79">
        <v>6440860.61</v>
      </c>
      <c r="N35" s="79">
        <f t="shared" si="5"/>
        <v>4508602.427</v>
      </c>
      <c r="O35" s="79">
        <f t="shared" si="6"/>
        <v>1610215.1525</v>
      </c>
      <c r="P35" s="79">
        <f t="shared" si="7"/>
        <v>322043.03050000005</v>
      </c>
      <c r="Q35" s="79">
        <v>0</v>
      </c>
      <c r="R35" s="78" t="s">
        <v>134</v>
      </c>
      <c r="S35" s="106">
        <v>1</v>
      </c>
      <c r="T35" s="81">
        <v>0</v>
      </c>
      <c r="U35" s="82">
        <f t="shared" si="8"/>
        <v>1</v>
      </c>
      <c r="V35" s="100">
        <v>1</v>
      </c>
      <c r="W35" s="82">
        <f t="shared" si="9"/>
        <v>1</v>
      </c>
      <c r="X35" s="84">
        <v>395</v>
      </c>
      <c r="Y35" s="84">
        <v>353</v>
      </c>
      <c r="Z35" s="85">
        <v>180</v>
      </c>
      <c r="AA35" s="86" t="s">
        <v>169</v>
      </c>
    </row>
    <row r="36" spans="2:27" s="30" customFormat="1" ht="76.5">
      <c r="B36" s="104" t="s">
        <v>258</v>
      </c>
      <c r="C36" s="78" t="s">
        <v>36</v>
      </c>
      <c r="D36" s="105" t="s">
        <v>63</v>
      </c>
      <c r="E36" s="78" t="s">
        <v>129</v>
      </c>
      <c r="F36" s="78" t="s">
        <v>46</v>
      </c>
      <c r="G36" s="75" t="s">
        <v>226</v>
      </c>
      <c r="H36" s="78" t="s">
        <v>33</v>
      </c>
      <c r="I36" s="78" t="s">
        <v>90</v>
      </c>
      <c r="J36" s="78" t="s">
        <v>155</v>
      </c>
      <c r="K36" s="78" t="s">
        <v>47</v>
      </c>
      <c r="L36" s="78" t="s">
        <v>34</v>
      </c>
      <c r="M36" s="79">
        <v>4134802.15</v>
      </c>
      <c r="N36" s="79">
        <f t="shared" si="5"/>
        <v>2894361.505</v>
      </c>
      <c r="O36" s="79">
        <f t="shared" si="6"/>
        <v>1033700.5375</v>
      </c>
      <c r="P36" s="79">
        <f t="shared" si="7"/>
        <v>206740.1075</v>
      </c>
      <c r="Q36" s="79">
        <v>0</v>
      </c>
      <c r="R36" s="78" t="s">
        <v>134</v>
      </c>
      <c r="S36" s="106">
        <v>1</v>
      </c>
      <c r="T36" s="81">
        <v>0</v>
      </c>
      <c r="U36" s="82">
        <f t="shared" si="8"/>
        <v>1</v>
      </c>
      <c r="V36" s="100">
        <v>1</v>
      </c>
      <c r="W36" s="82">
        <f t="shared" si="9"/>
        <v>1</v>
      </c>
      <c r="X36" s="84" t="s">
        <v>118</v>
      </c>
      <c r="Y36" s="84" t="s">
        <v>119</v>
      </c>
      <c r="Z36" s="85">
        <v>210</v>
      </c>
      <c r="AA36" s="86" t="s">
        <v>188</v>
      </c>
    </row>
    <row r="37" spans="2:27" s="31" customFormat="1" ht="76.5">
      <c r="B37" s="104" t="s">
        <v>259</v>
      </c>
      <c r="C37" s="78" t="s">
        <v>36</v>
      </c>
      <c r="D37" s="105" t="s">
        <v>63</v>
      </c>
      <c r="E37" s="78" t="s">
        <v>129</v>
      </c>
      <c r="F37" s="78" t="s">
        <v>46</v>
      </c>
      <c r="G37" s="75" t="s">
        <v>227</v>
      </c>
      <c r="H37" s="78" t="s">
        <v>33</v>
      </c>
      <c r="I37" s="78" t="s">
        <v>90</v>
      </c>
      <c r="J37" s="78" t="s">
        <v>156</v>
      </c>
      <c r="K37" s="78" t="s">
        <v>47</v>
      </c>
      <c r="L37" s="78" t="s">
        <v>34</v>
      </c>
      <c r="M37" s="79">
        <v>6859208.05</v>
      </c>
      <c r="N37" s="79">
        <f t="shared" si="5"/>
        <v>4801445.635</v>
      </c>
      <c r="O37" s="79">
        <f t="shared" si="6"/>
        <v>1714802.0125</v>
      </c>
      <c r="P37" s="79">
        <f t="shared" si="7"/>
        <v>342960.4025</v>
      </c>
      <c r="Q37" s="79">
        <v>0</v>
      </c>
      <c r="R37" s="78" t="s">
        <v>134</v>
      </c>
      <c r="S37" s="106">
        <v>1</v>
      </c>
      <c r="T37" s="81">
        <v>0</v>
      </c>
      <c r="U37" s="82">
        <f t="shared" si="8"/>
        <v>1</v>
      </c>
      <c r="V37" s="100">
        <v>1</v>
      </c>
      <c r="W37" s="82">
        <f t="shared" si="9"/>
        <v>1</v>
      </c>
      <c r="X37" s="84" t="s">
        <v>120</v>
      </c>
      <c r="Y37" s="84" t="s">
        <v>121</v>
      </c>
      <c r="Z37" s="85">
        <v>210</v>
      </c>
      <c r="AA37" s="86" t="s">
        <v>296</v>
      </c>
    </row>
    <row r="38" spans="2:27" s="31" customFormat="1" ht="57.75" customHeight="1">
      <c r="B38" s="104" t="s">
        <v>260</v>
      </c>
      <c r="C38" s="78" t="s">
        <v>36</v>
      </c>
      <c r="D38" s="105" t="s">
        <v>63</v>
      </c>
      <c r="E38" s="76" t="s">
        <v>129</v>
      </c>
      <c r="F38" s="78" t="s">
        <v>46</v>
      </c>
      <c r="G38" s="78" t="s">
        <v>190</v>
      </c>
      <c r="H38" s="78" t="s">
        <v>33</v>
      </c>
      <c r="I38" s="78" t="s">
        <v>53</v>
      </c>
      <c r="J38" s="77" t="s">
        <v>168</v>
      </c>
      <c r="K38" s="78" t="s">
        <v>47</v>
      </c>
      <c r="L38" s="78" t="s">
        <v>34</v>
      </c>
      <c r="M38" s="79">
        <v>5768463.06</v>
      </c>
      <c r="N38" s="79">
        <f t="shared" si="5"/>
        <v>4037924.1419999995</v>
      </c>
      <c r="O38" s="79">
        <f t="shared" si="6"/>
        <v>1442115.765</v>
      </c>
      <c r="P38" s="79">
        <f t="shared" si="7"/>
        <v>288423.153</v>
      </c>
      <c r="Q38" s="79">
        <v>0</v>
      </c>
      <c r="R38" s="78" t="s">
        <v>134</v>
      </c>
      <c r="S38" s="80">
        <v>1</v>
      </c>
      <c r="T38" s="81">
        <v>0</v>
      </c>
      <c r="U38" s="82">
        <v>1</v>
      </c>
      <c r="V38" s="100">
        <v>1</v>
      </c>
      <c r="W38" s="82">
        <v>1</v>
      </c>
      <c r="X38" s="84">
        <v>232</v>
      </c>
      <c r="Y38" s="84">
        <v>195</v>
      </c>
      <c r="Z38" s="85">
        <v>180</v>
      </c>
      <c r="AA38" s="86" t="s">
        <v>169</v>
      </c>
    </row>
    <row r="39" spans="2:27" s="30" customFormat="1" ht="76.5">
      <c r="B39" s="104" t="s">
        <v>261</v>
      </c>
      <c r="C39" s="78" t="s">
        <v>36</v>
      </c>
      <c r="D39" s="105" t="s">
        <v>30</v>
      </c>
      <c r="E39" s="76" t="s">
        <v>31</v>
      </c>
      <c r="F39" s="78" t="s">
        <v>67</v>
      </c>
      <c r="G39" s="75" t="s">
        <v>299</v>
      </c>
      <c r="H39" s="78" t="s">
        <v>33</v>
      </c>
      <c r="I39" s="78" t="s">
        <v>83</v>
      </c>
      <c r="J39" s="78" t="s">
        <v>84</v>
      </c>
      <c r="K39" s="78" t="s">
        <v>47</v>
      </c>
      <c r="L39" s="78" t="s">
        <v>34</v>
      </c>
      <c r="M39" s="79">
        <v>14268297.51</v>
      </c>
      <c r="N39" s="79">
        <f t="shared" si="5"/>
        <v>9987808.257</v>
      </c>
      <c r="O39" s="79">
        <f t="shared" si="6"/>
        <v>3567074.3775</v>
      </c>
      <c r="P39" s="79">
        <f t="shared" si="7"/>
        <v>713414.8755000001</v>
      </c>
      <c r="Q39" s="79">
        <v>0</v>
      </c>
      <c r="R39" s="78" t="s">
        <v>35</v>
      </c>
      <c r="S39" s="80">
        <v>3.74</v>
      </c>
      <c r="T39" s="81">
        <v>0</v>
      </c>
      <c r="U39" s="82">
        <v>1</v>
      </c>
      <c r="V39" s="100">
        <f>S39</f>
        <v>3.74</v>
      </c>
      <c r="W39" s="82">
        <f>T39+U39</f>
        <v>1</v>
      </c>
      <c r="X39" s="84" t="s">
        <v>112</v>
      </c>
      <c r="Y39" s="84" t="s">
        <v>113</v>
      </c>
      <c r="Z39" s="85">
        <v>240</v>
      </c>
      <c r="AA39" s="75" t="s">
        <v>220</v>
      </c>
    </row>
    <row r="40" spans="2:27" s="30" customFormat="1" ht="75" customHeight="1">
      <c r="B40" s="104" t="s">
        <v>262</v>
      </c>
      <c r="C40" s="78" t="s">
        <v>36</v>
      </c>
      <c r="D40" s="105" t="s">
        <v>30</v>
      </c>
      <c r="E40" s="76" t="s">
        <v>31</v>
      </c>
      <c r="F40" s="78" t="s">
        <v>32</v>
      </c>
      <c r="G40" s="75" t="s">
        <v>284</v>
      </c>
      <c r="H40" s="78" t="s">
        <v>33</v>
      </c>
      <c r="I40" s="78" t="s">
        <v>170</v>
      </c>
      <c r="J40" s="78" t="s">
        <v>171</v>
      </c>
      <c r="K40" s="75" t="s">
        <v>52</v>
      </c>
      <c r="L40" s="78" t="s">
        <v>34</v>
      </c>
      <c r="M40" s="79">
        <v>13995914.92</v>
      </c>
      <c r="N40" s="79">
        <f t="shared" si="5"/>
        <v>9797140.444</v>
      </c>
      <c r="O40" s="79">
        <f t="shared" si="6"/>
        <v>3498978.73</v>
      </c>
      <c r="P40" s="79">
        <f t="shared" si="7"/>
        <v>699795.746</v>
      </c>
      <c r="Q40" s="79">
        <v>0</v>
      </c>
      <c r="R40" s="78" t="s">
        <v>35</v>
      </c>
      <c r="S40" s="80">
        <v>4.89</v>
      </c>
      <c r="T40" s="81">
        <v>0</v>
      </c>
      <c r="U40" s="82">
        <v>1</v>
      </c>
      <c r="V40" s="100">
        <v>2</v>
      </c>
      <c r="W40" s="82">
        <v>1</v>
      </c>
      <c r="X40" s="84">
        <v>290</v>
      </c>
      <c r="Y40" s="84">
        <v>338</v>
      </c>
      <c r="Z40" s="85">
        <f>+X40+Y40</f>
        <v>628</v>
      </c>
      <c r="AA40" s="75" t="s">
        <v>220</v>
      </c>
    </row>
    <row r="41" spans="2:27" s="31" customFormat="1" ht="76.5">
      <c r="B41" s="104" t="s">
        <v>263</v>
      </c>
      <c r="C41" s="78" t="s">
        <v>36</v>
      </c>
      <c r="D41" s="105" t="s">
        <v>30</v>
      </c>
      <c r="E41" s="76" t="s">
        <v>31</v>
      </c>
      <c r="F41" s="78" t="s">
        <v>67</v>
      </c>
      <c r="G41" s="75" t="s">
        <v>250</v>
      </c>
      <c r="H41" s="78" t="s">
        <v>64</v>
      </c>
      <c r="I41" s="78" t="s">
        <v>73</v>
      </c>
      <c r="J41" s="77" t="s">
        <v>159</v>
      </c>
      <c r="K41" s="78" t="s">
        <v>47</v>
      </c>
      <c r="L41" s="78" t="s">
        <v>34</v>
      </c>
      <c r="M41" s="108">
        <v>13576185.36</v>
      </c>
      <c r="N41" s="79">
        <f t="shared" si="5"/>
        <v>9503329.751999998</v>
      </c>
      <c r="O41" s="79">
        <f>M41*0.3</f>
        <v>4072855.6079999995</v>
      </c>
      <c r="P41" s="79">
        <v>0</v>
      </c>
      <c r="Q41" s="79">
        <v>0</v>
      </c>
      <c r="R41" s="78" t="s">
        <v>35</v>
      </c>
      <c r="S41" s="80">
        <v>4.531</v>
      </c>
      <c r="T41" s="81">
        <v>0</v>
      </c>
      <c r="U41" s="82">
        <f>V41/S41</f>
        <v>0.44140366365040834</v>
      </c>
      <c r="V41" s="100">
        <v>2</v>
      </c>
      <c r="W41" s="82">
        <f aca="true" t="shared" si="10" ref="W41:W50">T41+U41</f>
        <v>0.44140366365040834</v>
      </c>
      <c r="X41" s="84" t="s">
        <v>114</v>
      </c>
      <c r="Y41" s="84" t="s">
        <v>115</v>
      </c>
      <c r="Z41" s="85">
        <v>240</v>
      </c>
      <c r="AA41" s="75" t="s">
        <v>220</v>
      </c>
    </row>
    <row r="42" spans="2:27" s="31" customFormat="1" ht="76.5">
      <c r="B42" s="75" t="s">
        <v>264</v>
      </c>
      <c r="C42" s="78" t="s">
        <v>165</v>
      </c>
      <c r="D42" s="105" t="s">
        <v>92</v>
      </c>
      <c r="E42" s="76" t="s">
        <v>152</v>
      </c>
      <c r="F42" s="78" t="s">
        <v>153</v>
      </c>
      <c r="G42" s="75" t="s">
        <v>228</v>
      </c>
      <c r="H42" s="75" t="s">
        <v>219</v>
      </c>
      <c r="I42" s="78" t="s">
        <v>86</v>
      </c>
      <c r="J42" s="78" t="s">
        <v>87</v>
      </c>
      <c r="K42" s="78" t="s">
        <v>47</v>
      </c>
      <c r="L42" s="78" t="s">
        <v>91</v>
      </c>
      <c r="M42" s="79">
        <v>1560569.63</v>
      </c>
      <c r="N42" s="79">
        <f t="shared" si="5"/>
        <v>1092398.741</v>
      </c>
      <c r="O42" s="79">
        <f t="shared" si="6"/>
        <v>390142.4075</v>
      </c>
      <c r="P42" s="79">
        <f t="shared" si="7"/>
        <v>78028.4815</v>
      </c>
      <c r="Q42" s="79">
        <v>0</v>
      </c>
      <c r="R42" s="78" t="s">
        <v>138</v>
      </c>
      <c r="S42" s="80">
        <v>58</v>
      </c>
      <c r="T42" s="81">
        <v>0</v>
      </c>
      <c r="U42" s="82">
        <v>1</v>
      </c>
      <c r="V42" s="100">
        <v>58</v>
      </c>
      <c r="W42" s="82">
        <f t="shared" si="10"/>
        <v>1</v>
      </c>
      <c r="X42" s="84">
        <v>545</v>
      </c>
      <c r="Y42" s="84">
        <v>598</v>
      </c>
      <c r="Z42" s="85">
        <v>180</v>
      </c>
      <c r="AA42" s="75" t="s">
        <v>229</v>
      </c>
    </row>
    <row r="43" spans="2:27" s="31" customFormat="1" ht="51">
      <c r="B43" s="75" t="s">
        <v>265</v>
      </c>
      <c r="C43" s="78" t="s">
        <v>165</v>
      </c>
      <c r="D43" s="105" t="s">
        <v>92</v>
      </c>
      <c r="E43" s="76" t="s">
        <v>152</v>
      </c>
      <c r="F43" s="78" t="s">
        <v>153</v>
      </c>
      <c r="G43" s="75" t="s">
        <v>230</v>
      </c>
      <c r="H43" s="75" t="s">
        <v>219</v>
      </c>
      <c r="I43" s="78" t="s">
        <v>86</v>
      </c>
      <c r="J43" s="78" t="s">
        <v>88</v>
      </c>
      <c r="K43" s="78" t="s">
        <v>47</v>
      </c>
      <c r="L43" s="78" t="s">
        <v>91</v>
      </c>
      <c r="M43" s="79">
        <v>772333.18</v>
      </c>
      <c r="N43" s="79">
        <f t="shared" si="5"/>
        <v>540633.226</v>
      </c>
      <c r="O43" s="79">
        <f t="shared" si="6"/>
        <v>193083.295</v>
      </c>
      <c r="P43" s="79">
        <f t="shared" si="7"/>
        <v>38616.65900000001</v>
      </c>
      <c r="Q43" s="79">
        <v>0</v>
      </c>
      <c r="R43" s="78" t="s">
        <v>138</v>
      </c>
      <c r="S43" s="80">
        <v>28</v>
      </c>
      <c r="T43" s="81">
        <v>0</v>
      </c>
      <c r="U43" s="82">
        <v>1</v>
      </c>
      <c r="V43" s="100">
        <v>28</v>
      </c>
      <c r="W43" s="82">
        <f t="shared" si="10"/>
        <v>1</v>
      </c>
      <c r="X43" s="84">
        <v>82</v>
      </c>
      <c r="Y43" s="84">
        <v>68</v>
      </c>
      <c r="Z43" s="85">
        <v>180</v>
      </c>
      <c r="AA43" s="75" t="s">
        <v>229</v>
      </c>
    </row>
    <row r="44" spans="2:27" s="31" customFormat="1" ht="51">
      <c r="B44" s="75" t="s">
        <v>266</v>
      </c>
      <c r="C44" s="78" t="s">
        <v>165</v>
      </c>
      <c r="D44" s="105" t="s">
        <v>92</v>
      </c>
      <c r="E44" s="76" t="s">
        <v>152</v>
      </c>
      <c r="F44" s="78" t="s">
        <v>153</v>
      </c>
      <c r="G44" s="78" t="s">
        <v>204</v>
      </c>
      <c r="H44" s="75" t="s">
        <v>219</v>
      </c>
      <c r="I44" s="78" t="s">
        <v>86</v>
      </c>
      <c r="J44" s="78" t="s">
        <v>89</v>
      </c>
      <c r="K44" s="78" t="s">
        <v>47</v>
      </c>
      <c r="L44" s="78" t="s">
        <v>91</v>
      </c>
      <c r="M44" s="79">
        <v>379790.09</v>
      </c>
      <c r="N44" s="79">
        <f t="shared" si="5"/>
        <v>265853.063</v>
      </c>
      <c r="O44" s="79">
        <f t="shared" si="6"/>
        <v>94947.5225</v>
      </c>
      <c r="P44" s="79">
        <f t="shared" si="7"/>
        <v>18989.504500000003</v>
      </c>
      <c r="Q44" s="79">
        <v>0</v>
      </c>
      <c r="R44" s="78" t="s">
        <v>138</v>
      </c>
      <c r="S44" s="80">
        <v>14</v>
      </c>
      <c r="T44" s="81">
        <v>0</v>
      </c>
      <c r="U44" s="82">
        <v>1</v>
      </c>
      <c r="V44" s="100">
        <v>14</v>
      </c>
      <c r="W44" s="82">
        <f t="shared" si="10"/>
        <v>1</v>
      </c>
      <c r="X44" s="84">
        <v>172</v>
      </c>
      <c r="Y44" s="84">
        <v>219</v>
      </c>
      <c r="Z44" s="85">
        <v>180</v>
      </c>
      <c r="AA44" s="75" t="s">
        <v>229</v>
      </c>
    </row>
    <row r="45" spans="2:27" s="31" customFormat="1" ht="51">
      <c r="B45" s="75" t="s">
        <v>267</v>
      </c>
      <c r="C45" s="78" t="s">
        <v>165</v>
      </c>
      <c r="D45" s="105" t="s">
        <v>92</v>
      </c>
      <c r="E45" s="76" t="s">
        <v>152</v>
      </c>
      <c r="F45" s="78" t="s">
        <v>153</v>
      </c>
      <c r="G45" s="78" t="s">
        <v>205</v>
      </c>
      <c r="H45" s="75" t="s">
        <v>219</v>
      </c>
      <c r="I45" s="78" t="s">
        <v>86</v>
      </c>
      <c r="J45" s="78" t="s">
        <v>0</v>
      </c>
      <c r="K45" s="78" t="s">
        <v>47</v>
      </c>
      <c r="L45" s="78" t="s">
        <v>91</v>
      </c>
      <c r="M45" s="79">
        <v>548217.13</v>
      </c>
      <c r="N45" s="79">
        <f t="shared" si="5"/>
        <v>383751.991</v>
      </c>
      <c r="O45" s="79">
        <f t="shared" si="6"/>
        <v>137054.2825</v>
      </c>
      <c r="P45" s="79">
        <f t="shared" si="7"/>
        <v>27410.8565</v>
      </c>
      <c r="Q45" s="79">
        <v>0</v>
      </c>
      <c r="R45" s="78" t="s">
        <v>138</v>
      </c>
      <c r="S45" s="80">
        <v>25</v>
      </c>
      <c r="T45" s="81">
        <v>0</v>
      </c>
      <c r="U45" s="82">
        <v>1</v>
      </c>
      <c r="V45" s="100">
        <v>25</v>
      </c>
      <c r="W45" s="82">
        <f t="shared" si="10"/>
        <v>1</v>
      </c>
      <c r="X45" s="84">
        <v>65</v>
      </c>
      <c r="Y45" s="84">
        <v>72</v>
      </c>
      <c r="Z45" s="85">
        <v>180</v>
      </c>
      <c r="AA45" s="75" t="s">
        <v>229</v>
      </c>
    </row>
    <row r="46" spans="2:27" s="32" customFormat="1" ht="165.75" hidden="1">
      <c r="B46" s="78" t="s">
        <v>166</v>
      </c>
      <c r="C46" s="78" t="s">
        <v>36</v>
      </c>
      <c r="D46" s="105" t="s">
        <v>30</v>
      </c>
      <c r="E46" s="78" t="s">
        <v>31</v>
      </c>
      <c r="F46" s="78" t="s">
        <v>32</v>
      </c>
      <c r="G46" s="75" t="s">
        <v>236</v>
      </c>
      <c r="H46" s="78" t="s">
        <v>172</v>
      </c>
      <c r="I46" s="78" t="s">
        <v>173</v>
      </c>
      <c r="J46" s="78" t="s">
        <v>174</v>
      </c>
      <c r="K46" s="78" t="s">
        <v>47</v>
      </c>
      <c r="L46" s="78" t="s">
        <v>34</v>
      </c>
      <c r="M46" s="108"/>
      <c r="N46" s="109">
        <f t="shared" si="5"/>
        <v>0</v>
      </c>
      <c r="O46" s="109">
        <f>M46*0.25</f>
        <v>0</v>
      </c>
      <c r="P46" s="109">
        <f>M46*0.05</f>
        <v>0</v>
      </c>
      <c r="Q46" s="110">
        <v>0</v>
      </c>
      <c r="R46" s="105" t="s">
        <v>35</v>
      </c>
      <c r="S46" s="80">
        <f>3.24+(4-3.56)</f>
        <v>3.68</v>
      </c>
      <c r="T46" s="81">
        <v>0</v>
      </c>
      <c r="U46" s="82">
        <f>V46/S46</f>
        <v>1</v>
      </c>
      <c r="V46" s="100">
        <f>S46</f>
        <v>3.68</v>
      </c>
      <c r="W46" s="82">
        <f>T46+U46</f>
        <v>1</v>
      </c>
      <c r="X46" s="84">
        <v>164</v>
      </c>
      <c r="Y46" s="84">
        <v>194</v>
      </c>
      <c r="Z46" s="85">
        <v>240</v>
      </c>
      <c r="AA46" s="75" t="s">
        <v>220</v>
      </c>
    </row>
    <row r="47" spans="2:27" s="30" customFormat="1" ht="68.25" customHeight="1">
      <c r="B47" s="104" t="s">
        <v>268</v>
      </c>
      <c r="C47" s="78" t="s">
        <v>36</v>
      </c>
      <c r="D47" s="105" t="s">
        <v>63</v>
      </c>
      <c r="E47" s="78" t="s">
        <v>129</v>
      </c>
      <c r="F47" s="78" t="s">
        <v>46</v>
      </c>
      <c r="G47" s="75" t="s">
        <v>203</v>
      </c>
      <c r="H47" s="75" t="s">
        <v>219</v>
      </c>
      <c r="I47" s="78" t="s">
        <v>74</v>
      </c>
      <c r="J47" s="78" t="s">
        <v>75</v>
      </c>
      <c r="K47" s="111" t="s">
        <v>47</v>
      </c>
      <c r="L47" s="75" t="s">
        <v>34</v>
      </c>
      <c r="M47" s="79">
        <v>7049927.26</v>
      </c>
      <c r="N47" s="79">
        <f t="shared" si="5"/>
        <v>4934949.0819999995</v>
      </c>
      <c r="O47" s="79">
        <f>M47*0.25</f>
        <v>1762481.815</v>
      </c>
      <c r="P47" s="79">
        <f>M47*0.05</f>
        <v>352496.363</v>
      </c>
      <c r="Q47" s="79">
        <v>0</v>
      </c>
      <c r="R47" s="78" t="s">
        <v>134</v>
      </c>
      <c r="S47" s="106">
        <v>1</v>
      </c>
      <c r="T47" s="81">
        <v>0</v>
      </c>
      <c r="U47" s="82">
        <f>V47/S47</f>
        <v>1</v>
      </c>
      <c r="V47" s="100">
        <v>1</v>
      </c>
      <c r="W47" s="82">
        <f>T47+U47</f>
        <v>1</v>
      </c>
      <c r="X47" s="84">
        <v>176</v>
      </c>
      <c r="Y47" s="84">
        <v>217</v>
      </c>
      <c r="Z47" s="85">
        <v>180</v>
      </c>
      <c r="AA47" s="75" t="s">
        <v>231</v>
      </c>
    </row>
    <row r="48" spans="2:27" s="32" customFormat="1" ht="102">
      <c r="B48" s="104" t="s">
        <v>269</v>
      </c>
      <c r="C48" s="75" t="s">
        <v>36</v>
      </c>
      <c r="D48" s="105" t="s">
        <v>30</v>
      </c>
      <c r="E48" s="77" t="s">
        <v>191</v>
      </c>
      <c r="F48" s="78" t="s">
        <v>192</v>
      </c>
      <c r="G48" s="75" t="s">
        <v>245</v>
      </c>
      <c r="H48" s="75" t="s">
        <v>219</v>
      </c>
      <c r="I48" s="78" t="s">
        <v>65</v>
      </c>
      <c r="J48" s="75" t="s">
        <v>232</v>
      </c>
      <c r="K48" s="78" t="s">
        <v>47</v>
      </c>
      <c r="L48" s="78" t="s">
        <v>34</v>
      </c>
      <c r="M48" s="108">
        <v>322630.97</v>
      </c>
      <c r="N48" s="109">
        <f t="shared" si="5"/>
        <v>225841.67899999997</v>
      </c>
      <c r="O48" s="109">
        <f>M48*0.3</f>
        <v>96789.29099999998</v>
      </c>
      <c r="P48" s="109">
        <v>0</v>
      </c>
      <c r="Q48" s="110">
        <v>0</v>
      </c>
      <c r="R48" s="105" t="s">
        <v>193</v>
      </c>
      <c r="S48" s="80">
        <v>1</v>
      </c>
      <c r="T48" s="81">
        <v>0</v>
      </c>
      <c r="U48" s="82">
        <f>V48/S48</f>
        <v>1</v>
      </c>
      <c r="V48" s="100">
        <v>1</v>
      </c>
      <c r="W48" s="82">
        <f t="shared" si="10"/>
        <v>1</v>
      </c>
      <c r="X48" s="84" t="s">
        <v>108</v>
      </c>
      <c r="Y48" s="84" t="s">
        <v>109</v>
      </c>
      <c r="Z48" s="85">
        <v>240</v>
      </c>
      <c r="AA48" s="86" t="s">
        <v>237</v>
      </c>
    </row>
    <row r="49" spans="2:27" s="32" customFormat="1" ht="60" customHeight="1">
      <c r="B49" s="104" t="s">
        <v>270</v>
      </c>
      <c r="C49" s="75" t="s">
        <v>36</v>
      </c>
      <c r="D49" s="112" t="s">
        <v>30</v>
      </c>
      <c r="E49" s="86" t="s">
        <v>191</v>
      </c>
      <c r="F49" s="78" t="s">
        <v>192</v>
      </c>
      <c r="G49" s="75" t="s">
        <v>285</v>
      </c>
      <c r="H49" s="75" t="s">
        <v>219</v>
      </c>
      <c r="I49" s="78" t="s">
        <v>65</v>
      </c>
      <c r="J49" s="75" t="s">
        <v>232</v>
      </c>
      <c r="K49" s="78" t="s">
        <v>47</v>
      </c>
      <c r="L49" s="78" t="s">
        <v>34</v>
      </c>
      <c r="M49" s="108">
        <v>423901.44</v>
      </c>
      <c r="N49" s="109">
        <f t="shared" si="5"/>
        <v>296731.008</v>
      </c>
      <c r="O49" s="109">
        <f>M49*0.3</f>
        <v>127170.432</v>
      </c>
      <c r="P49" s="109">
        <v>0</v>
      </c>
      <c r="Q49" s="110">
        <v>0</v>
      </c>
      <c r="R49" s="105" t="s">
        <v>193</v>
      </c>
      <c r="S49" s="106">
        <v>1</v>
      </c>
      <c r="T49" s="81">
        <v>0</v>
      </c>
      <c r="U49" s="82">
        <v>1</v>
      </c>
      <c r="V49" s="100">
        <v>1</v>
      </c>
      <c r="W49" s="82">
        <v>1</v>
      </c>
      <c r="X49" s="84" t="s">
        <v>108</v>
      </c>
      <c r="Y49" s="84" t="s">
        <v>109</v>
      </c>
      <c r="Z49" s="85">
        <v>240</v>
      </c>
      <c r="AA49" s="86" t="s">
        <v>238</v>
      </c>
    </row>
    <row r="50" spans="2:27" s="32" customFormat="1" ht="76.5">
      <c r="B50" s="104" t="s">
        <v>271</v>
      </c>
      <c r="C50" s="75" t="s">
        <v>36</v>
      </c>
      <c r="D50" s="105" t="s">
        <v>30</v>
      </c>
      <c r="E50" s="78" t="s">
        <v>31</v>
      </c>
      <c r="F50" s="78" t="s">
        <v>32</v>
      </c>
      <c r="G50" s="75" t="s">
        <v>280</v>
      </c>
      <c r="H50" s="78" t="s">
        <v>172</v>
      </c>
      <c r="I50" s="75" t="s">
        <v>173</v>
      </c>
      <c r="J50" s="75" t="s">
        <v>206</v>
      </c>
      <c r="K50" s="75" t="s">
        <v>52</v>
      </c>
      <c r="L50" s="78" t="s">
        <v>34</v>
      </c>
      <c r="M50" s="108">
        <v>6269764.09</v>
      </c>
      <c r="N50" s="109">
        <f t="shared" si="5"/>
        <v>4388834.863</v>
      </c>
      <c r="O50" s="109">
        <f>M50*0.25</f>
        <v>1567441.0225</v>
      </c>
      <c r="P50" s="109">
        <f>M50*0.05</f>
        <v>313488.2045</v>
      </c>
      <c r="Q50" s="110">
        <v>0</v>
      </c>
      <c r="R50" s="105" t="s">
        <v>35</v>
      </c>
      <c r="S50" s="80">
        <v>2.78</v>
      </c>
      <c r="T50" s="81">
        <v>0</v>
      </c>
      <c r="U50" s="82">
        <f>V50/S50</f>
        <v>0.3597122302158274</v>
      </c>
      <c r="V50" s="100">
        <v>1</v>
      </c>
      <c r="W50" s="82">
        <f t="shared" si="10"/>
        <v>0.3597122302158274</v>
      </c>
      <c r="X50" s="113" t="s">
        <v>207</v>
      </c>
      <c r="Y50" s="113" t="s">
        <v>208</v>
      </c>
      <c r="Z50" s="85">
        <v>180</v>
      </c>
      <c r="AA50" s="75" t="s">
        <v>220</v>
      </c>
    </row>
    <row r="51" spans="2:27" s="3" customFormat="1" ht="76.5">
      <c r="B51" s="104" t="s">
        <v>272</v>
      </c>
      <c r="C51" s="78" t="s">
        <v>36</v>
      </c>
      <c r="D51" s="105" t="s">
        <v>30</v>
      </c>
      <c r="E51" s="76" t="s">
        <v>31</v>
      </c>
      <c r="F51" s="78" t="s">
        <v>67</v>
      </c>
      <c r="G51" s="75" t="s">
        <v>246</v>
      </c>
      <c r="H51" s="78" t="s">
        <v>33</v>
      </c>
      <c r="I51" s="78" t="s">
        <v>62</v>
      </c>
      <c r="J51" s="78" t="s">
        <v>69</v>
      </c>
      <c r="K51" s="78" t="s">
        <v>47</v>
      </c>
      <c r="L51" s="78" t="s">
        <v>34</v>
      </c>
      <c r="M51" s="79">
        <v>23689613.55</v>
      </c>
      <c r="N51" s="79">
        <f t="shared" si="5"/>
        <v>16582729.485</v>
      </c>
      <c r="O51" s="79">
        <f>M51*0.25</f>
        <v>5922403.3875</v>
      </c>
      <c r="P51" s="79">
        <f>M51*0.05</f>
        <v>1184480.6775</v>
      </c>
      <c r="Q51" s="79">
        <v>0</v>
      </c>
      <c r="R51" s="78" t="s">
        <v>35</v>
      </c>
      <c r="S51" s="80">
        <v>4.513</v>
      </c>
      <c r="T51" s="81">
        <v>0</v>
      </c>
      <c r="U51" s="82">
        <f>V51/S51</f>
        <v>1</v>
      </c>
      <c r="V51" s="100">
        <f>4.513</f>
        <v>4.513</v>
      </c>
      <c r="W51" s="82">
        <f>T51+U51</f>
        <v>1</v>
      </c>
      <c r="X51" s="84">
        <v>144</v>
      </c>
      <c r="Y51" s="84">
        <v>146</v>
      </c>
      <c r="Z51" s="85">
        <v>240</v>
      </c>
      <c r="AA51" s="75" t="s">
        <v>220</v>
      </c>
    </row>
    <row r="52" spans="2:27" ht="23.25" customHeight="1">
      <c r="B52" s="194" t="s">
        <v>177</v>
      </c>
      <c r="C52" s="194"/>
      <c r="D52" s="194"/>
      <c r="E52" s="194"/>
      <c r="F52" s="194"/>
      <c r="G52" s="194"/>
      <c r="H52" s="194"/>
      <c r="I52" s="194"/>
      <c r="J52" s="194"/>
      <c r="K52" s="45"/>
      <c r="L52" s="45"/>
      <c r="M52" s="46">
        <f>SUM(M53:M61)</f>
        <v>111723185.35</v>
      </c>
      <c r="N52" s="46">
        <f>SUM(N53:N61)</f>
        <v>71884704.93559998</v>
      </c>
      <c r="O52" s="46">
        <f>SUM(O53:O61)</f>
        <v>34543448.4944</v>
      </c>
      <c r="P52" s="46">
        <f>SUM(P53:P61)</f>
        <v>5295031.92</v>
      </c>
      <c r="Q52" s="46">
        <f>SUM(Q53:Q59)</f>
        <v>0</v>
      </c>
      <c r="R52" s="45"/>
      <c r="S52" s="47"/>
      <c r="T52" s="48"/>
      <c r="U52" s="48"/>
      <c r="V52" s="47"/>
      <c r="W52" s="48"/>
      <c r="X52" s="49"/>
      <c r="Y52" s="49"/>
      <c r="Z52" s="49"/>
      <c r="AA52" s="45"/>
    </row>
    <row r="53" spans="2:27" s="30" customFormat="1" ht="82.5" customHeight="1">
      <c r="B53" s="104" t="s">
        <v>273</v>
      </c>
      <c r="C53" s="75" t="s">
        <v>36</v>
      </c>
      <c r="D53" s="76" t="s">
        <v>61</v>
      </c>
      <c r="E53" s="77" t="s">
        <v>140</v>
      </c>
      <c r="F53" s="78" t="s">
        <v>46</v>
      </c>
      <c r="G53" s="78" t="s">
        <v>194</v>
      </c>
      <c r="H53" s="78" t="s">
        <v>76</v>
      </c>
      <c r="I53" s="78" t="s">
        <v>94</v>
      </c>
      <c r="J53" s="78" t="s">
        <v>95</v>
      </c>
      <c r="K53" s="75" t="s">
        <v>52</v>
      </c>
      <c r="L53" s="75" t="s">
        <v>34</v>
      </c>
      <c r="M53" s="79">
        <v>1547533.47</v>
      </c>
      <c r="N53" s="79">
        <f aca="true" t="shared" si="11" ref="N53:N58">M53*0.7</f>
        <v>1083273.429</v>
      </c>
      <c r="O53" s="79">
        <f aca="true" t="shared" si="12" ref="O53:O58">M53*0.25</f>
        <v>386883.3675</v>
      </c>
      <c r="P53" s="79">
        <f aca="true" t="shared" si="13" ref="P53:P58">M53*0.05</f>
        <v>77376.6735</v>
      </c>
      <c r="Q53" s="79">
        <v>0</v>
      </c>
      <c r="R53" s="78" t="s">
        <v>134</v>
      </c>
      <c r="S53" s="80">
        <v>1</v>
      </c>
      <c r="T53" s="81">
        <v>0</v>
      </c>
      <c r="U53" s="82">
        <f>V53/S53</f>
        <v>0.2</v>
      </c>
      <c r="V53" s="100">
        <v>0.2</v>
      </c>
      <c r="W53" s="82">
        <f aca="true" t="shared" si="14" ref="W53:W58">T53+U53</f>
        <v>0.2</v>
      </c>
      <c r="X53" s="84">
        <v>37</v>
      </c>
      <c r="Y53" s="84">
        <v>29</v>
      </c>
      <c r="Z53" s="85">
        <v>180</v>
      </c>
      <c r="AA53" s="77" t="s">
        <v>160</v>
      </c>
    </row>
    <row r="54" spans="2:27" s="30" customFormat="1" ht="51">
      <c r="B54" s="104" t="s">
        <v>274</v>
      </c>
      <c r="C54" s="78" t="s">
        <v>36</v>
      </c>
      <c r="D54" s="105" t="s">
        <v>61</v>
      </c>
      <c r="E54" s="77" t="s">
        <v>140</v>
      </c>
      <c r="F54" s="78" t="s">
        <v>46</v>
      </c>
      <c r="G54" s="78" t="s">
        <v>195</v>
      </c>
      <c r="H54" s="78" t="s">
        <v>76</v>
      </c>
      <c r="I54" s="78" t="s">
        <v>78</v>
      </c>
      <c r="J54" s="78" t="s">
        <v>154</v>
      </c>
      <c r="K54" s="75" t="s">
        <v>52</v>
      </c>
      <c r="L54" s="75" t="s">
        <v>34</v>
      </c>
      <c r="M54" s="79">
        <v>1440733.03</v>
      </c>
      <c r="N54" s="79">
        <f t="shared" si="11"/>
        <v>1008513.1209999999</v>
      </c>
      <c r="O54" s="79">
        <f t="shared" si="12"/>
        <v>360183.2575</v>
      </c>
      <c r="P54" s="79">
        <f t="shared" si="13"/>
        <v>72036.6515</v>
      </c>
      <c r="Q54" s="79">
        <v>0</v>
      </c>
      <c r="R54" s="78" t="s">
        <v>134</v>
      </c>
      <c r="S54" s="80">
        <v>1</v>
      </c>
      <c r="T54" s="81">
        <v>0</v>
      </c>
      <c r="U54" s="82">
        <v>0.2</v>
      </c>
      <c r="V54" s="100">
        <v>1</v>
      </c>
      <c r="W54" s="82">
        <f t="shared" si="14"/>
        <v>0.2</v>
      </c>
      <c r="X54" s="84">
        <v>109</v>
      </c>
      <c r="Y54" s="84">
        <v>82</v>
      </c>
      <c r="Z54" s="85">
        <v>180</v>
      </c>
      <c r="AA54" s="86" t="s">
        <v>163</v>
      </c>
    </row>
    <row r="55" spans="2:27" s="30" customFormat="1" ht="63.75">
      <c r="B55" s="104" t="s">
        <v>275</v>
      </c>
      <c r="C55" s="78" t="s">
        <v>36</v>
      </c>
      <c r="D55" s="105" t="s">
        <v>30</v>
      </c>
      <c r="E55" s="76" t="s">
        <v>31</v>
      </c>
      <c r="F55" s="78" t="s">
        <v>67</v>
      </c>
      <c r="G55" s="78" t="s">
        <v>196</v>
      </c>
      <c r="H55" s="75" t="s">
        <v>219</v>
      </c>
      <c r="I55" s="78" t="s">
        <v>65</v>
      </c>
      <c r="J55" s="78" t="s">
        <v>107</v>
      </c>
      <c r="K55" s="75" t="s">
        <v>52</v>
      </c>
      <c r="L55" s="75" t="s">
        <v>34</v>
      </c>
      <c r="M55" s="79">
        <v>5822546.95</v>
      </c>
      <c r="N55" s="79">
        <f t="shared" si="11"/>
        <v>4075782.8649999998</v>
      </c>
      <c r="O55" s="79">
        <f>M55*0.3</f>
        <v>1746764.085</v>
      </c>
      <c r="P55" s="79">
        <v>0</v>
      </c>
      <c r="Q55" s="79">
        <v>0</v>
      </c>
      <c r="R55" s="78" t="s">
        <v>35</v>
      </c>
      <c r="S55" s="80">
        <v>3.93392</v>
      </c>
      <c r="T55" s="81">
        <v>0</v>
      </c>
      <c r="U55" s="82">
        <f>V55/S55</f>
        <v>0.2882417537723187</v>
      </c>
      <c r="V55" s="114">
        <f>1.13392</f>
        <v>1.13392</v>
      </c>
      <c r="W55" s="82">
        <f t="shared" si="14"/>
        <v>0.2882417537723187</v>
      </c>
      <c r="X55" s="84" t="s">
        <v>108</v>
      </c>
      <c r="Y55" s="84" t="s">
        <v>109</v>
      </c>
      <c r="Z55" s="85">
        <v>180</v>
      </c>
      <c r="AA55" s="75" t="s">
        <v>220</v>
      </c>
    </row>
    <row r="56" spans="2:27" s="31" customFormat="1" ht="63.75">
      <c r="B56" s="104" t="s">
        <v>276</v>
      </c>
      <c r="C56" s="78" t="s">
        <v>36</v>
      </c>
      <c r="D56" s="105" t="s">
        <v>30</v>
      </c>
      <c r="E56" s="76" t="s">
        <v>31</v>
      </c>
      <c r="F56" s="78" t="s">
        <v>32</v>
      </c>
      <c r="G56" s="78" t="s">
        <v>197</v>
      </c>
      <c r="H56" s="78" t="s">
        <v>33</v>
      </c>
      <c r="I56" s="78" t="s">
        <v>96</v>
      </c>
      <c r="J56" s="77" t="s">
        <v>111</v>
      </c>
      <c r="K56" s="75" t="s">
        <v>52</v>
      </c>
      <c r="L56" s="75" t="s">
        <v>34</v>
      </c>
      <c r="M56" s="108">
        <v>25313604.68</v>
      </c>
      <c r="N56" s="79">
        <f t="shared" si="11"/>
        <v>17719523.275999997</v>
      </c>
      <c r="O56" s="79">
        <f t="shared" si="12"/>
        <v>6328401.17</v>
      </c>
      <c r="P56" s="79">
        <f t="shared" si="13"/>
        <v>1265680.2340000002</v>
      </c>
      <c r="Q56" s="79">
        <v>0</v>
      </c>
      <c r="R56" s="78" t="s">
        <v>35</v>
      </c>
      <c r="S56" s="80">
        <v>3.5</v>
      </c>
      <c r="T56" s="81">
        <v>0</v>
      </c>
      <c r="U56" s="82">
        <f>V56/S56</f>
        <v>0.7485714285714286</v>
      </c>
      <c r="V56" s="100">
        <v>2.62</v>
      </c>
      <c r="W56" s="82">
        <f t="shared" si="14"/>
        <v>0.7485714285714286</v>
      </c>
      <c r="X56" s="84">
        <v>376</v>
      </c>
      <c r="Y56" s="84">
        <v>417</v>
      </c>
      <c r="Z56" s="85">
        <v>180</v>
      </c>
      <c r="AA56" s="75" t="s">
        <v>220</v>
      </c>
    </row>
    <row r="57" spans="2:27" s="30" customFormat="1" ht="152.25" customHeight="1">
      <c r="B57" s="104" t="s">
        <v>277</v>
      </c>
      <c r="C57" s="78" t="s">
        <v>36</v>
      </c>
      <c r="D57" s="105" t="s">
        <v>30</v>
      </c>
      <c r="E57" s="76" t="s">
        <v>31</v>
      </c>
      <c r="F57" s="78" t="s">
        <v>67</v>
      </c>
      <c r="G57" s="78" t="s">
        <v>198</v>
      </c>
      <c r="H57" s="78" t="s">
        <v>33</v>
      </c>
      <c r="I57" s="78" t="s">
        <v>83</v>
      </c>
      <c r="J57" s="78" t="s">
        <v>139</v>
      </c>
      <c r="K57" s="78" t="s">
        <v>52</v>
      </c>
      <c r="L57" s="78" t="s">
        <v>34</v>
      </c>
      <c r="M57" s="79">
        <v>6465102.73</v>
      </c>
      <c r="N57" s="79">
        <f t="shared" si="11"/>
        <v>4525571.911</v>
      </c>
      <c r="O57" s="79">
        <f t="shared" si="12"/>
        <v>1616275.6825</v>
      </c>
      <c r="P57" s="79">
        <f t="shared" si="13"/>
        <v>323255.1365</v>
      </c>
      <c r="Q57" s="79">
        <v>0</v>
      </c>
      <c r="R57" s="78" t="s">
        <v>35</v>
      </c>
      <c r="S57" s="80">
        <v>3.5</v>
      </c>
      <c r="T57" s="81">
        <v>0</v>
      </c>
      <c r="U57" s="82">
        <v>0.4</v>
      </c>
      <c r="V57" s="100">
        <v>1.14</v>
      </c>
      <c r="W57" s="82">
        <f t="shared" si="14"/>
        <v>0.4</v>
      </c>
      <c r="X57" s="84">
        <v>146</v>
      </c>
      <c r="Y57" s="84">
        <v>128</v>
      </c>
      <c r="Z57" s="85">
        <v>180</v>
      </c>
      <c r="AA57" s="75" t="s">
        <v>220</v>
      </c>
    </row>
    <row r="58" spans="2:27" s="31" customFormat="1" ht="83.25" customHeight="1">
      <c r="B58" s="104" t="s">
        <v>278</v>
      </c>
      <c r="C58" s="78" t="s">
        <v>36</v>
      </c>
      <c r="D58" s="105" t="s">
        <v>30</v>
      </c>
      <c r="E58" s="76" t="s">
        <v>31</v>
      </c>
      <c r="F58" s="78" t="s">
        <v>32</v>
      </c>
      <c r="G58" s="75" t="s">
        <v>247</v>
      </c>
      <c r="H58" s="78" t="s">
        <v>33</v>
      </c>
      <c r="I58" s="78" t="s">
        <v>96</v>
      </c>
      <c r="J58" s="75" t="s">
        <v>233</v>
      </c>
      <c r="K58" s="78" t="s">
        <v>52</v>
      </c>
      <c r="L58" s="78" t="s">
        <v>34</v>
      </c>
      <c r="M58" s="79">
        <v>37706894.04</v>
      </c>
      <c r="N58" s="79">
        <f t="shared" si="11"/>
        <v>26394825.827999998</v>
      </c>
      <c r="O58" s="79">
        <f t="shared" si="12"/>
        <v>9426723.51</v>
      </c>
      <c r="P58" s="79">
        <f t="shared" si="13"/>
        <v>1885344.702</v>
      </c>
      <c r="Q58" s="79">
        <v>0</v>
      </c>
      <c r="R58" s="78" t="s">
        <v>35</v>
      </c>
      <c r="S58" s="80">
        <v>8</v>
      </c>
      <c r="T58" s="81">
        <v>0</v>
      </c>
      <c r="U58" s="82">
        <f>V58/S58</f>
        <v>0.375</v>
      </c>
      <c r="V58" s="100">
        <v>3</v>
      </c>
      <c r="W58" s="82">
        <f t="shared" si="14"/>
        <v>0.375</v>
      </c>
      <c r="X58" s="84" t="s">
        <v>157</v>
      </c>
      <c r="Y58" s="84" t="s">
        <v>158</v>
      </c>
      <c r="Z58" s="85">
        <v>240</v>
      </c>
      <c r="AA58" s="75" t="s">
        <v>220</v>
      </c>
    </row>
    <row r="59" spans="2:27" s="3" customFormat="1" ht="63.75">
      <c r="B59" s="104" t="s">
        <v>279</v>
      </c>
      <c r="C59" s="78" t="s">
        <v>36</v>
      </c>
      <c r="D59" s="105" t="s">
        <v>30</v>
      </c>
      <c r="E59" s="76" t="s">
        <v>31</v>
      </c>
      <c r="F59" s="78" t="s">
        <v>67</v>
      </c>
      <c r="G59" s="75" t="s">
        <v>253</v>
      </c>
      <c r="H59" s="78" t="s">
        <v>33</v>
      </c>
      <c r="I59" s="78" t="s">
        <v>62</v>
      </c>
      <c r="J59" s="78" t="s">
        <v>68</v>
      </c>
      <c r="K59" s="78" t="s">
        <v>52</v>
      </c>
      <c r="L59" s="78" t="s">
        <v>34</v>
      </c>
      <c r="M59" s="79">
        <v>13576185.36</v>
      </c>
      <c r="N59" s="79">
        <f>M59*0.7</f>
        <v>9503329.751999998</v>
      </c>
      <c r="O59" s="79">
        <f>M59*0.25</f>
        <v>3394046.34</v>
      </c>
      <c r="P59" s="79">
        <f>M59*0.05</f>
        <v>678809.268</v>
      </c>
      <c r="Q59" s="79">
        <v>0</v>
      </c>
      <c r="R59" s="78" t="s">
        <v>35</v>
      </c>
      <c r="S59" s="80">
        <v>12.12</v>
      </c>
      <c r="T59" s="81">
        <v>0</v>
      </c>
      <c r="U59" s="82">
        <f>V59/S59</f>
        <v>0.16501650165016502</v>
      </c>
      <c r="V59" s="100">
        <v>2</v>
      </c>
      <c r="W59" s="82">
        <f>T59+U59</f>
        <v>0.16501650165016502</v>
      </c>
      <c r="X59" s="84" t="s">
        <v>101</v>
      </c>
      <c r="Y59" s="84" t="s">
        <v>102</v>
      </c>
      <c r="Z59" s="85">
        <v>240</v>
      </c>
      <c r="AA59" s="75" t="s">
        <v>220</v>
      </c>
    </row>
    <row r="60" spans="2:27" s="59" customFormat="1" ht="63.75">
      <c r="B60" s="104" t="s">
        <v>281</v>
      </c>
      <c r="C60" s="75" t="s">
        <v>295</v>
      </c>
      <c r="D60" s="105" t="s">
        <v>30</v>
      </c>
      <c r="E60" s="76" t="s">
        <v>31</v>
      </c>
      <c r="F60" s="78" t="s">
        <v>67</v>
      </c>
      <c r="G60" s="75" t="s">
        <v>282</v>
      </c>
      <c r="H60" s="78" t="s">
        <v>33</v>
      </c>
      <c r="I60" s="75" t="s">
        <v>71</v>
      </c>
      <c r="J60" s="75" t="s">
        <v>283</v>
      </c>
      <c r="K60" s="78" t="s">
        <v>52</v>
      </c>
      <c r="L60" s="78" t="s">
        <v>34</v>
      </c>
      <c r="M60" s="79">
        <v>8731105.21</v>
      </c>
      <c r="N60" s="79">
        <f>M60*0.38</f>
        <v>3317819.9798000003</v>
      </c>
      <c r="O60" s="79">
        <f>M60*0.57</f>
        <v>4976729.9697</v>
      </c>
      <c r="P60" s="79">
        <f>M60*0.05</f>
        <v>436555.2605000001</v>
      </c>
      <c r="Q60" s="79">
        <v>0</v>
      </c>
      <c r="R60" s="78" t="s">
        <v>35</v>
      </c>
      <c r="S60" s="80">
        <v>2.299</v>
      </c>
      <c r="T60" s="81">
        <v>0</v>
      </c>
      <c r="U60" s="82">
        <f>V60/S60</f>
        <v>0.43497172683775553</v>
      </c>
      <c r="V60" s="100">
        <v>1</v>
      </c>
      <c r="W60" s="82">
        <f>T60+U60</f>
        <v>0.43497172683775553</v>
      </c>
      <c r="X60" s="84">
        <v>375</v>
      </c>
      <c r="Y60" s="84">
        <v>341</v>
      </c>
      <c r="Z60" s="85">
        <v>240</v>
      </c>
      <c r="AA60" s="75" t="s">
        <v>220</v>
      </c>
    </row>
    <row r="61" spans="2:27" s="59" customFormat="1" ht="63.75">
      <c r="B61" s="104" t="s">
        <v>290</v>
      </c>
      <c r="C61" s="75" t="s">
        <v>295</v>
      </c>
      <c r="D61" s="105" t="s">
        <v>30</v>
      </c>
      <c r="E61" s="76" t="s">
        <v>31</v>
      </c>
      <c r="F61" s="78" t="s">
        <v>67</v>
      </c>
      <c r="G61" s="75" t="s">
        <v>291</v>
      </c>
      <c r="H61" s="78" t="s">
        <v>33</v>
      </c>
      <c r="I61" s="75" t="s">
        <v>71</v>
      </c>
      <c r="J61" s="75" t="s">
        <v>292</v>
      </c>
      <c r="K61" s="78" t="s">
        <v>52</v>
      </c>
      <c r="L61" s="78" t="s">
        <v>34</v>
      </c>
      <c r="M61" s="79">
        <v>11119479.88</v>
      </c>
      <c r="N61" s="79">
        <f>M61*0.385-24934.98</f>
        <v>4256064.7738</v>
      </c>
      <c r="O61" s="79">
        <f>M61*0.565+24934.98</f>
        <v>6307441.1122</v>
      </c>
      <c r="P61" s="79">
        <f>M61*0.05</f>
        <v>555973.9940000001</v>
      </c>
      <c r="Q61" s="79">
        <v>0</v>
      </c>
      <c r="R61" s="78" t="s">
        <v>35</v>
      </c>
      <c r="S61" s="80">
        <v>10</v>
      </c>
      <c r="T61" s="81">
        <v>0</v>
      </c>
      <c r="U61" s="82">
        <f>V61/S61</f>
        <v>0.1</v>
      </c>
      <c r="V61" s="100">
        <v>1</v>
      </c>
      <c r="W61" s="82">
        <f>T61+U61</f>
        <v>0.1</v>
      </c>
      <c r="X61" s="113" t="s">
        <v>293</v>
      </c>
      <c r="Y61" s="113" t="s">
        <v>294</v>
      </c>
      <c r="Z61" s="85">
        <v>240</v>
      </c>
      <c r="AA61" s="75" t="s">
        <v>220</v>
      </c>
    </row>
    <row r="62" spans="2:27" s="52" customFormat="1" ht="12.75">
      <c r="B62" s="61"/>
      <c r="C62" s="62"/>
      <c r="D62" s="63"/>
      <c r="E62" s="64"/>
      <c r="F62" s="62"/>
      <c r="G62" s="65" t="s">
        <v>286</v>
      </c>
      <c r="H62" s="62"/>
      <c r="I62" s="65"/>
      <c r="J62" s="65"/>
      <c r="K62" s="62"/>
      <c r="L62" s="62"/>
      <c r="M62" s="66">
        <v>15248526.52</v>
      </c>
      <c r="N62" s="66"/>
      <c r="O62" s="66"/>
      <c r="P62" s="66"/>
      <c r="Q62" s="66"/>
      <c r="R62" s="62"/>
      <c r="S62" s="67"/>
      <c r="T62" s="68"/>
      <c r="U62" s="69"/>
      <c r="V62" s="70"/>
      <c r="W62" s="69"/>
      <c r="X62" s="71"/>
      <c r="Y62" s="71"/>
      <c r="Z62" s="72"/>
      <c r="AA62" s="65"/>
    </row>
    <row r="63" spans="2:27" ht="12.75">
      <c r="B63" s="56"/>
      <c r="C63" s="51"/>
      <c r="D63" s="52"/>
      <c r="E63" s="52"/>
      <c r="F63" s="52"/>
      <c r="G63" s="51"/>
      <c r="H63" s="53"/>
      <c r="I63" s="53"/>
      <c r="J63" s="53"/>
      <c r="K63" s="52"/>
      <c r="L63" s="52"/>
      <c r="M63" s="60">
        <f>M8+M62</f>
        <v>524279276.25</v>
      </c>
      <c r="N63" s="52"/>
      <c r="O63" s="52"/>
      <c r="P63" s="52"/>
      <c r="Q63" s="52"/>
      <c r="R63" s="54"/>
      <c r="S63" s="52"/>
      <c r="T63" s="52"/>
      <c r="U63" s="55"/>
      <c r="V63" s="52"/>
      <c r="W63" s="55"/>
      <c r="X63" s="52"/>
      <c r="Y63" s="52"/>
      <c r="Z63" s="52"/>
      <c r="AA63" s="51"/>
    </row>
    <row r="65" spans="13:16" ht="12.75">
      <c r="M65" s="58">
        <v>8731105.21</v>
      </c>
      <c r="N65" s="2">
        <f>N8/M8</f>
        <v>0.687581251602672</v>
      </c>
      <c r="O65" s="2">
        <f>O8/M8</f>
        <v>0.2643975350198143</v>
      </c>
      <c r="P65" s="2">
        <f>P8/M8</f>
        <v>0.048021213385371575</v>
      </c>
    </row>
    <row r="66" ht="12.75">
      <c r="P66" s="2">
        <f>P65+O65+N65</f>
        <v>1.000000000007858</v>
      </c>
    </row>
    <row r="67" ht="12.75">
      <c r="O67" s="74">
        <f>O8+P8</f>
        <v>159030749.7304</v>
      </c>
    </row>
  </sheetData>
  <sheetProtection/>
  <autoFilter ref="B7:AA63"/>
  <mergeCells count="25">
    <mergeCell ref="B2:AA2"/>
    <mergeCell ref="B3:AA3"/>
    <mergeCell ref="B5:B7"/>
    <mergeCell ref="C5:C6"/>
    <mergeCell ref="D5:F6"/>
    <mergeCell ref="G5:J5"/>
    <mergeCell ref="K5:K7"/>
    <mergeCell ref="L5:L7"/>
    <mergeCell ref="M5:Q6"/>
    <mergeCell ref="R5:W5"/>
    <mergeCell ref="X5:Y6"/>
    <mergeCell ref="Z5:Z7"/>
    <mergeCell ref="AA5:AA7"/>
    <mergeCell ref="G6:G7"/>
    <mergeCell ref="H6:J6"/>
    <mergeCell ref="R6:S6"/>
    <mergeCell ref="U6:V6"/>
    <mergeCell ref="B31:J31"/>
    <mergeCell ref="B52:J52"/>
    <mergeCell ref="B8:J8"/>
    <mergeCell ref="B9:J9"/>
    <mergeCell ref="B16:J16"/>
    <mergeCell ref="B17:AA17"/>
    <mergeCell ref="B22:J22"/>
    <mergeCell ref="B23:AA23"/>
  </mergeCells>
  <printOptions horizontalCentered="1"/>
  <pageMargins left="0.26" right="0.28" top="0.2755905511811024" bottom="0.2755905511811024" header="0" footer="0"/>
  <pageSetup horizontalDpi="600" verticalDpi="600" orientation="landscape" paperSize="5" scale="46" r:id="rId3"/>
  <rowBreaks count="1" manualBreakCount="1">
    <brk id="22" min="1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80" zoomScaleNormal="86" zoomScaleSheetLayoutView="80" workbookViewId="0" topLeftCell="A1">
      <selection activeCell="A1" sqref="A1:U1"/>
    </sheetView>
  </sheetViews>
  <sheetFormatPr defaultColWidth="11.421875" defaultRowHeight="12.75"/>
  <cols>
    <col min="1" max="1" width="10.7109375" style="116" customWidth="1"/>
    <col min="2" max="2" width="15.57421875" style="117" customWidth="1"/>
    <col min="3" max="4" width="4.7109375" style="117" customWidth="1"/>
    <col min="5" max="5" width="14.00390625" style="117" customWidth="1"/>
    <col min="6" max="6" width="40.7109375" style="117" customWidth="1"/>
    <col min="7" max="7" width="12.7109375" style="117" customWidth="1"/>
    <col min="8" max="8" width="11.7109375" style="117" customWidth="1"/>
    <col min="9" max="9" width="15.28125" style="117" customWidth="1"/>
    <col min="10" max="10" width="3.7109375" style="118" customWidth="1"/>
    <col min="11" max="11" width="4.8515625" style="118" customWidth="1"/>
    <col min="12" max="12" width="10.7109375" style="118" customWidth="1"/>
    <col min="13" max="13" width="8.7109375" style="118" customWidth="1"/>
    <col min="14" max="14" width="10.7109375" style="118" customWidth="1"/>
    <col min="15" max="15" width="8.7109375" style="118" customWidth="1"/>
    <col min="16" max="16" width="8.7109375" style="119" customWidth="1"/>
    <col min="17" max="17" width="10.7109375" style="118" customWidth="1"/>
    <col min="18" max="19" width="8.7109375" style="118" customWidth="1"/>
    <col min="20" max="20" width="10.421875" style="118" customWidth="1"/>
    <col min="21" max="21" width="24.00390625" style="117" customWidth="1"/>
    <col min="22" max="16384" width="11.421875" style="118" customWidth="1"/>
  </cols>
  <sheetData>
    <row r="1" spans="1:21" s="115" customFormat="1" ht="47.25" customHeight="1">
      <c r="A1" s="218" t="s">
        <v>305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s="115" customFormat="1" ht="18">
      <c r="A2" s="218" t="s">
        <v>306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ht="17.25" customHeight="1"/>
    <row r="4" spans="1:21" s="122" customFormat="1" ht="11.25" customHeight="1">
      <c r="A4" s="120"/>
      <c r="B4" s="120"/>
      <c r="C4" s="214" t="s">
        <v>3</v>
      </c>
      <c r="D4" s="214"/>
      <c r="E4" s="214"/>
      <c r="F4" s="214" t="s">
        <v>4</v>
      </c>
      <c r="G4" s="214"/>
      <c r="H4" s="214"/>
      <c r="I4" s="214"/>
      <c r="J4" s="120"/>
      <c r="K4" s="120"/>
      <c r="L4" s="214" t="s">
        <v>7</v>
      </c>
      <c r="M4" s="214"/>
      <c r="N4" s="214"/>
      <c r="O4" s="214"/>
      <c r="P4" s="214"/>
      <c r="Q4" s="214"/>
      <c r="R4" s="215" t="s">
        <v>300</v>
      </c>
      <c r="S4" s="215"/>
      <c r="T4" s="213" t="s">
        <v>301</v>
      </c>
      <c r="U4" s="213" t="s">
        <v>8</v>
      </c>
    </row>
    <row r="5" spans="1:21" s="122" customFormat="1" ht="22.5">
      <c r="A5" s="221" t="s">
        <v>1</v>
      </c>
      <c r="B5" s="124" t="s">
        <v>2</v>
      </c>
      <c r="C5" s="214"/>
      <c r="D5" s="214"/>
      <c r="E5" s="214"/>
      <c r="F5" s="213" t="s">
        <v>9</v>
      </c>
      <c r="G5" s="213" t="s">
        <v>10</v>
      </c>
      <c r="H5" s="213"/>
      <c r="I5" s="213"/>
      <c r="J5" s="124"/>
      <c r="K5" s="124"/>
      <c r="L5" s="213" t="s">
        <v>11</v>
      </c>
      <c r="M5" s="213"/>
      <c r="N5" s="125" t="s">
        <v>12</v>
      </c>
      <c r="O5" s="213" t="s">
        <v>135</v>
      </c>
      <c r="P5" s="213"/>
      <c r="Q5" s="125" t="s">
        <v>12</v>
      </c>
      <c r="R5" s="215" t="s">
        <v>300</v>
      </c>
      <c r="S5" s="215"/>
      <c r="T5" s="213"/>
      <c r="U5" s="213"/>
    </row>
    <row r="6" spans="1:21" s="129" customFormat="1" ht="22.5">
      <c r="A6" s="221"/>
      <c r="B6" s="123" t="s">
        <v>13</v>
      </c>
      <c r="C6" s="121" t="s">
        <v>14</v>
      </c>
      <c r="D6" s="126"/>
      <c r="E6" s="127" t="s">
        <v>15</v>
      </c>
      <c r="F6" s="213"/>
      <c r="G6" s="121" t="s">
        <v>16</v>
      </c>
      <c r="H6" s="121" t="s">
        <v>17</v>
      </c>
      <c r="I6" s="121" t="s">
        <v>18</v>
      </c>
      <c r="J6" s="123" t="s">
        <v>5</v>
      </c>
      <c r="K6" s="123" t="s">
        <v>6</v>
      </c>
      <c r="L6" s="121" t="s">
        <v>23</v>
      </c>
      <c r="M6" s="121" t="s">
        <v>24</v>
      </c>
      <c r="N6" s="123" t="s">
        <v>26</v>
      </c>
      <c r="O6" s="121" t="s">
        <v>25</v>
      </c>
      <c r="P6" s="128" t="s">
        <v>24</v>
      </c>
      <c r="Q6" s="123" t="s">
        <v>136</v>
      </c>
      <c r="R6" s="121" t="s">
        <v>27</v>
      </c>
      <c r="S6" s="121" t="s">
        <v>28</v>
      </c>
      <c r="T6" s="213"/>
      <c r="U6" s="213"/>
    </row>
    <row r="7" spans="1:21" s="137" customFormat="1" ht="84">
      <c r="A7" s="130" t="s">
        <v>128</v>
      </c>
      <c r="B7" s="130" t="s">
        <v>36</v>
      </c>
      <c r="C7" s="131" t="s">
        <v>63</v>
      </c>
      <c r="D7" s="130" t="s">
        <v>140</v>
      </c>
      <c r="E7" s="130" t="s">
        <v>46</v>
      </c>
      <c r="F7" s="130" t="s">
        <v>312</v>
      </c>
      <c r="G7" s="130" t="s">
        <v>219</v>
      </c>
      <c r="H7" s="130" t="s">
        <v>78</v>
      </c>
      <c r="I7" s="132" t="s">
        <v>98</v>
      </c>
      <c r="J7" s="131" t="s">
        <v>81</v>
      </c>
      <c r="K7" s="131" t="s">
        <v>34</v>
      </c>
      <c r="L7" s="132" t="s">
        <v>134</v>
      </c>
      <c r="M7" s="133">
        <v>1</v>
      </c>
      <c r="N7" s="134">
        <v>0.7</v>
      </c>
      <c r="O7" s="134">
        <f>P7/M7</f>
        <v>0.3</v>
      </c>
      <c r="P7" s="133">
        <v>0.3</v>
      </c>
      <c r="Q7" s="134">
        <f>N7+O7</f>
        <v>1</v>
      </c>
      <c r="R7" s="135">
        <v>681</v>
      </c>
      <c r="S7" s="135">
        <v>722</v>
      </c>
      <c r="T7" s="136">
        <v>180</v>
      </c>
      <c r="U7" s="130" t="s">
        <v>161</v>
      </c>
    </row>
    <row r="8" spans="1:21" s="137" customFormat="1" ht="108">
      <c r="A8" s="130" t="s">
        <v>254</v>
      </c>
      <c r="B8" s="130" t="s">
        <v>36</v>
      </c>
      <c r="C8" s="131" t="s">
        <v>63</v>
      </c>
      <c r="D8" s="130" t="s">
        <v>140</v>
      </c>
      <c r="E8" s="130" t="s">
        <v>46</v>
      </c>
      <c r="F8" s="130" t="s">
        <v>315</v>
      </c>
      <c r="G8" s="130" t="s">
        <v>33</v>
      </c>
      <c r="H8" s="130" t="s">
        <v>90</v>
      </c>
      <c r="I8" s="132" t="s">
        <v>330</v>
      </c>
      <c r="J8" s="131" t="s">
        <v>81</v>
      </c>
      <c r="K8" s="131" t="s">
        <v>34</v>
      </c>
      <c r="L8" s="132" t="s">
        <v>134</v>
      </c>
      <c r="M8" s="133">
        <v>1</v>
      </c>
      <c r="N8" s="134">
        <v>0.382</v>
      </c>
      <c r="O8" s="134">
        <v>0.618</v>
      </c>
      <c r="P8" s="133">
        <v>1</v>
      </c>
      <c r="Q8" s="134">
        <v>1</v>
      </c>
      <c r="R8" s="135" t="s">
        <v>331</v>
      </c>
      <c r="S8" s="135" t="s">
        <v>332</v>
      </c>
      <c r="T8" s="136">
        <v>180</v>
      </c>
      <c r="U8" s="130" t="s">
        <v>180</v>
      </c>
    </row>
    <row r="9" spans="1:21" s="137" customFormat="1" ht="48">
      <c r="A9" s="130" t="s">
        <v>126</v>
      </c>
      <c r="B9" s="130" t="s">
        <v>36</v>
      </c>
      <c r="C9" s="131" t="s">
        <v>54</v>
      </c>
      <c r="D9" s="130" t="s">
        <v>31</v>
      </c>
      <c r="E9" s="130" t="s">
        <v>46</v>
      </c>
      <c r="F9" s="130" t="s">
        <v>201</v>
      </c>
      <c r="G9" s="130" t="s">
        <v>33</v>
      </c>
      <c r="H9" s="130" t="s">
        <v>55</v>
      </c>
      <c r="I9" s="132" t="s">
        <v>66</v>
      </c>
      <c r="J9" s="131" t="s">
        <v>34</v>
      </c>
      <c r="K9" s="131" t="s">
        <v>34</v>
      </c>
      <c r="L9" s="132" t="s">
        <v>35</v>
      </c>
      <c r="M9" s="133">
        <v>7.026</v>
      </c>
      <c r="N9" s="134">
        <f>1/M9</f>
        <v>0.14232849416453175</v>
      </c>
      <c r="O9" s="134">
        <f aca="true" t="shared" si="0" ref="O9:O15">P9/M9</f>
        <v>0.569313976658127</v>
      </c>
      <c r="P9" s="133">
        <f>5-1</f>
        <v>4</v>
      </c>
      <c r="Q9" s="134">
        <f aca="true" t="shared" si="1" ref="Q9:Q15">N9+O9</f>
        <v>0.7116424708226587</v>
      </c>
      <c r="R9" s="135" t="s">
        <v>103</v>
      </c>
      <c r="S9" s="135" t="s">
        <v>104</v>
      </c>
      <c r="T9" s="136">
        <v>240</v>
      </c>
      <c r="U9" s="130" t="s">
        <v>221</v>
      </c>
    </row>
    <row r="10" spans="1:21" s="137" customFormat="1" ht="84">
      <c r="A10" s="130" t="s">
        <v>56</v>
      </c>
      <c r="B10" s="130" t="s">
        <v>36</v>
      </c>
      <c r="C10" s="131" t="s">
        <v>30</v>
      </c>
      <c r="D10" s="130" t="s">
        <v>31</v>
      </c>
      <c r="E10" s="130" t="s">
        <v>32</v>
      </c>
      <c r="F10" s="130" t="s">
        <v>202</v>
      </c>
      <c r="G10" s="130" t="s">
        <v>33</v>
      </c>
      <c r="H10" s="130" t="s">
        <v>57</v>
      </c>
      <c r="I10" s="132" t="s">
        <v>58</v>
      </c>
      <c r="J10" s="131" t="s">
        <v>34</v>
      </c>
      <c r="K10" s="131" t="s">
        <v>34</v>
      </c>
      <c r="L10" s="132" t="s">
        <v>35</v>
      </c>
      <c r="M10" s="133">
        <v>15</v>
      </c>
      <c r="N10" s="134">
        <f>9/M10</f>
        <v>0.6</v>
      </c>
      <c r="O10" s="134">
        <f t="shared" si="0"/>
        <v>0.2</v>
      </c>
      <c r="P10" s="133">
        <v>3</v>
      </c>
      <c r="Q10" s="134">
        <f t="shared" si="1"/>
        <v>0.8</v>
      </c>
      <c r="R10" s="135" t="s">
        <v>59</v>
      </c>
      <c r="S10" s="135" t="s">
        <v>60</v>
      </c>
      <c r="T10" s="136">
        <v>240</v>
      </c>
      <c r="U10" s="130" t="s">
        <v>220</v>
      </c>
    </row>
    <row r="11" spans="1:21" s="137" customFormat="1" ht="60">
      <c r="A11" s="130" t="s">
        <v>124</v>
      </c>
      <c r="B11" s="130" t="s">
        <v>36</v>
      </c>
      <c r="C11" s="131" t="s">
        <v>30</v>
      </c>
      <c r="D11" s="130" t="s">
        <v>31</v>
      </c>
      <c r="E11" s="130" t="s">
        <v>67</v>
      </c>
      <c r="F11" s="130" t="s">
        <v>297</v>
      </c>
      <c r="G11" s="130" t="s">
        <v>33</v>
      </c>
      <c r="H11" s="130" t="s">
        <v>144</v>
      </c>
      <c r="I11" s="132" t="s">
        <v>145</v>
      </c>
      <c r="J11" s="131" t="s">
        <v>34</v>
      </c>
      <c r="K11" s="131" t="s">
        <v>34</v>
      </c>
      <c r="L11" s="132" t="s">
        <v>35</v>
      </c>
      <c r="M11" s="133">
        <v>8.29</v>
      </c>
      <c r="N11" s="134">
        <f>1/M11</f>
        <v>0.12062726176115804</v>
      </c>
      <c r="O11" s="134">
        <f t="shared" si="0"/>
        <v>0.12062726176115804</v>
      </c>
      <c r="P11" s="133">
        <v>1</v>
      </c>
      <c r="Q11" s="134">
        <f t="shared" si="1"/>
        <v>0.24125452352231608</v>
      </c>
      <c r="R11" s="135" t="s">
        <v>105</v>
      </c>
      <c r="S11" s="135" t="s">
        <v>106</v>
      </c>
      <c r="T11" s="136">
        <v>180</v>
      </c>
      <c r="U11" s="130" t="s">
        <v>220</v>
      </c>
    </row>
    <row r="12" spans="1:21" s="137" customFormat="1" ht="168">
      <c r="A12" s="130" t="s">
        <v>42</v>
      </c>
      <c r="B12" s="130" t="s">
        <v>36</v>
      </c>
      <c r="C12" s="131" t="s">
        <v>30</v>
      </c>
      <c r="D12" s="130" t="s">
        <v>31</v>
      </c>
      <c r="E12" s="130" t="s">
        <v>32</v>
      </c>
      <c r="F12" s="130" t="s">
        <v>239</v>
      </c>
      <c r="G12" s="130" t="s">
        <v>33</v>
      </c>
      <c r="H12" s="130" t="s">
        <v>43</v>
      </c>
      <c r="I12" s="132" t="s">
        <v>44</v>
      </c>
      <c r="J12" s="131" t="s">
        <v>34</v>
      </c>
      <c r="K12" s="131" t="s">
        <v>34</v>
      </c>
      <c r="L12" s="132" t="s">
        <v>35</v>
      </c>
      <c r="M12" s="133">
        <v>39</v>
      </c>
      <c r="N12" s="134">
        <f>12/M12</f>
        <v>0.3076923076923077</v>
      </c>
      <c r="O12" s="134">
        <f t="shared" si="0"/>
        <v>0.05128205128205128</v>
      </c>
      <c r="P12" s="133">
        <f>14-12</f>
        <v>2</v>
      </c>
      <c r="Q12" s="134">
        <f t="shared" si="1"/>
        <v>0.358974358974359</v>
      </c>
      <c r="R12" s="135" t="s">
        <v>141</v>
      </c>
      <c r="S12" s="135" t="s">
        <v>142</v>
      </c>
      <c r="T12" s="136">
        <v>240</v>
      </c>
      <c r="U12" s="130" t="s">
        <v>220</v>
      </c>
    </row>
    <row r="13" spans="1:21" s="137" customFormat="1" ht="120">
      <c r="A13" s="130" t="s">
        <v>37</v>
      </c>
      <c r="B13" s="130" t="s">
        <v>36</v>
      </c>
      <c r="C13" s="131" t="s">
        <v>30</v>
      </c>
      <c r="D13" s="130" t="s">
        <v>31</v>
      </c>
      <c r="E13" s="130" t="s">
        <v>32</v>
      </c>
      <c r="F13" s="130" t="s">
        <v>251</v>
      </c>
      <c r="G13" s="130" t="s">
        <v>33</v>
      </c>
      <c r="H13" s="130" t="s">
        <v>38</v>
      </c>
      <c r="I13" s="132" t="s">
        <v>39</v>
      </c>
      <c r="J13" s="131" t="s">
        <v>34</v>
      </c>
      <c r="K13" s="131" t="s">
        <v>34</v>
      </c>
      <c r="L13" s="132" t="s">
        <v>35</v>
      </c>
      <c r="M13" s="133">
        <v>33.20809</v>
      </c>
      <c r="N13" s="134">
        <f>(33.20809-25.5+6)/M13</f>
        <v>0.4127936897304241</v>
      </c>
      <c r="O13" s="134">
        <f t="shared" si="0"/>
        <v>0.09033943234916553</v>
      </c>
      <c r="P13" s="133">
        <f>25.5-22.5</f>
        <v>3</v>
      </c>
      <c r="Q13" s="134">
        <f t="shared" si="1"/>
        <v>0.5031331220795896</v>
      </c>
      <c r="R13" s="135" t="s">
        <v>328</v>
      </c>
      <c r="S13" s="135" t="s">
        <v>329</v>
      </c>
      <c r="T13" s="136">
        <v>240</v>
      </c>
      <c r="U13" s="130" t="s">
        <v>252</v>
      </c>
    </row>
    <row r="14" spans="1:21" s="137" customFormat="1" ht="60">
      <c r="A14" s="130" t="s">
        <v>127</v>
      </c>
      <c r="B14" s="130" t="s">
        <v>36</v>
      </c>
      <c r="C14" s="131" t="s">
        <v>30</v>
      </c>
      <c r="D14" s="130" t="s">
        <v>31</v>
      </c>
      <c r="E14" s="130" t="s">
        <v>67</v>
      </c>
      <c r="F14" s="130" t="s">
        <v>185</v>
      </c>
      <c r="G14" s="130" t="s">
        <v>33</v>
      </c>
      <c r="H14" s="130" t="s">
        <v>313</v>
      </c>
      <c r="I14" s="132" t="s">
        <v>146</v>
      </c>
      <c r="J14" s="131" t="s">
        <v>34</v>
      </c>
      <c r="K14" s="131" t="s">
        <v>34</v>
      </c>
      <c r="L14" s="132" t="s">
        <v>35</v>
      </c>
      <c r="M14" s="133">
        <v>25</v>
      </c>
      <c r="N14" s="134">
        <f>1/M14</f>
        <v>0.04</v>
      </c>
      <c r="O14" s="134">
        <f t="shared" si="0"/>
        <v>0.08</v>
      </c>
      <c r="P14" s="133">
        <f>3-1</f>
        <v>2</v>
      </c>
      <c r="Q14" s="134">
        <f t="shared" si="1"/>
        <v>0.12</v>
      </c>
      <c r="R14" s="135" t="s">
        <v>333</v>
      </c>
      <c r="S14" s="135" t="s">
        <v>334</v>
      </c>
      <c r="T14" s="136">
        <v>210</v>
      </c>
      <c r="U14" s="130" t="s">
        <v>220</v>
      </c>
    </row>
    <row r="15" spans="1:21" s="137" customFormat="1" ht="108">
      <c r="A15" s="130" t="s">
        <v>130</v>
      </c>
      <c r="B15" s="130" t="s">
        <v>36</v>
      </c>
      <c r="C15" s="131" t="s">
        <v>30</v>
      </c>
      <c r="D15" s="130" t="s">
        <v>31</v>
      </c>
      <c r="E15" s="130" t="s">
        <v>32</v>
      </c>
      <c r="F15" s="130" t="s">
        <v>183</v>
      </c>
      <c r="G15" s="130" t="s">
        <v>33</v>
      </c>
      <c r="H15" s="130" t="s">
        <v>147</v>
      </c>
      <c r="I15" s="132" t="s">
        <v>148</v>
      </c>
      <c r="J15" s="131" t="s">
        <v>34</v>
      </c>
      <c r="K15" s="131" t="s">
        <v>34</v>
      </c>
      <c r="L15" s="132" t="s">
        <v>35</v>
      </c>
      <c r="M15" s="133">
        <v>38</v>
      </c>
      <c r="N15" s="134">
        <f>3/M15</f>
        <v>0.07894736842105263</v>
      </c>
      <c r="O15" s="134">
        <f t="shared" si="0"/>
        <v>0.05736842105263157</v>
      </c>
      <c r="P15" s="133">
        <f>11.18-9</f>
        <v>2.1799999999999997</v>
      </c>
      <c r="Q15" s="134">
        <f t="shared" si="1"/>
        <v>0.1363157894736842</v>
      </c>
      <c r="R15" s="135" t="s">
        <v>149</v>
      </c>
      <c r="S15" s="135" t="s">
        <v>150</v>
      </c>
      <c r="T15" s="136">
        <v>240</v>
      </c>
      <c r="U15" s="130" t="s">
        <v>220</v>
      </c>
    </row>
    <row r="16" spans="1:21" s="137" customFormat="1" ht="48">
      <c r="A16" s="130" t="s">
        <v>255</v>
      </c>
      <c r="B16" s="130" t="s">
        <v>165</v>
      </c>
      <c r="C16" s="131" t="s">
        <v>92</v>
      </c>
      <c r="D16" s="130" t="s">
        <v>152</v>
      </c>
      <c r="E16" s="130" t="s">
        <v>153</v>
      </c>
      <c r="F16" s="130" t="s">
        <v>314</v>
      </c>
      <c r="G16" s="130" t="s">
        <v>219</v>
      </c>
      <c r="H16" s="130" t="s">
        <v>86</v>
      </c>
      <c r="I16" s="132" t="s">
        <v>88</v>
      </c>
      <c r="J16" s="131" t="s">
        <v>47</v>
      </c>
      <c r="K16" s="131" t="s">
        <v>91</v>
      </c>
      <c r="L16" s="132" t="s">
        <v>138</v>
      </c>
      <c r="M16" s="133">
        <v>28</v>
      </c>
      <c r="N16" s="134">
        <v>0</v>
      </c>
      <c r="O16" s="134">
        <v>1</v>
      </c>
      <c r="P16" s="133">
        <v>28</v>
      </c>
      <c r="Q16" s="134">
        <f aca="true" t="shared" si="2" ref="Q16:Q21">N16+O16</f>
        <v>1</v>
      </c>
      <c r="R16" s="135">
        <v>82</v>
      </c>
      <c r="S16" s="135">
        <v>68</v>
      </c>
      <c r="T16" s="136">
        <v>180</v>
      </c>
      <c r="U16" s="130" t="s">
        <v>229</v>
      </c>
    </row>
    <row r="17" spans="1:21" s="137" customFormat="1" ht="48">
      <c r="A17" s="130" t="s">
        <v>256</v>
      </c>
      <c r="B17" s="130" t="s">
        <v>165</v>
      </c>
      <c r="C17" s="131" t="s">
        <v>92</v>
      </c>
      <c r="D17" s="130" t="s">
        <v>152</v>
      </c>
      <c r="E17" s="130" t="s">
        <v>153</v>
      </c>
      <c r="F17" s="130" t="s">
        <v>335</v>
      </c>
      <c r="G17" s="130" t="s">
        <v>219</v>
      </c>
      <c r="H17" s="130" t="s">
        <v>86</v>
      </c>
      <c r="I17" s="132" t="s">
        <v>89</v>
      </c>
      <c r="J17" s="131" t="s">
        <v>47</v>
      </c>
      <c r="K17" s="131" t="s">
        <v>91</v>
      </c>
      <c r="L17" s="132" t="s">
        <v>138</v>
      </c>
      <c r="M17" s="133">
        <v>14</v>
      </c>
      <c r="N17" s="134">
        <v>0</v>
      </c>
      <c r="O17" s="134">
        <v>1</v>
      </c>
      <c r="P17" s="133">
        <v>14</v>
      </c>
      <c r="Q17" s="134">
        <f t="shared" si="2"/>
        <v>1</v>
      </c>
      <c r="R17" s="135">
        <v>172</v>
      </c>
      <c r="S17" s="135">
        <v>219</v>
      </c>
      <c r="T17" s="136">
        <v>180</v>
      </c>
      <c r="U17" s="130" t="s">
        <v>229</v>
      </c>
    </row>
    <row r="18" spans="1:21" s="137" customFormat="1" ht="48">
      <c r="A18" s="130" t="s">
        <v>257</v>
      </c>
      <c r="B18" s="130" t="s">
        <v>165</v>
      </c>
      <c r="C18" s="131" t="s">
        <v>92</v>
      </c>
      <c r="D18" s="130" t="s">
        <v>152</v>
      </c>
      <c r="E18" s="130" t="s">
        <v>153</v>
      </c>
      <c r="F18" s="130" t="s">
        <v>336</v>
      </c>
      <c r="G18" s="130" t="s">
        <v>219</v>
      </c>
      <c r="H18" s="130" t="s">
        <v>86</v>
      </c>
      <c r="I18" s="132" t="s">
        <v>0</v>
      </c>
      <c r="J18" s="131" t="s">
        <v>47</v>
      </c>
      <c r="K18" s="131" t="s">
        <v>91</v>
      </c>
      <c r="L18" s="132" t="s">
        <v>138</v>
      </c>
      <c r="M18" s="133">
        <v>25</v>
      </c>
      <c r="N18" s="134">
        <v>0</v>
      </c>
      <c r="O18" s="134">
        <v>1</v>
      </c>
      <c r="P18" s="133">
        <v>25</v>
      </c>
      <c r="Q18" s="134">
        <f t="shared" si="2"/>
        <v>1</v>
      </c>
      <c r="R18" s="135">
        <v>65</v>
      </c>
      <c r="S18" s="135">
        <v>72</v>
      </c>
      <c r="T18" s="136">
        <v>180</v>
      </c>
      <c r="U18" s="130" t="s">
        <v>229</v>
      </c>
    </row>
    <row r="19" spans="1:21" s="137" customFormat="1" ht="228">
      <c r="A19" s="130" t="s">
        <v>258</v>
      </c>
      <c r="B19" s="130" t="s">
        <v>36</v>
      </c>
      <c r="C19" s="131" t="s">
        <v>30</v>
      </c>
      <c r="D19" s="130" t="s">
        <v>191</v>
      </c>
      <c r="E19" s="130" t="s">
        <v>192</v>
      </c>
      <c r="F19" s="130" t="s">
        <v>337</v>
      </c>
      <c r="G19" s="130" t="s">
        <v>219</v>
      </c>
      <c r="H19" s="130" t="s">
        <v>65</v>
      </c>
      <c r="I19" s="132" t="s">
        <v>232</v>
      </c>
      <c r="J19" s="131" t="s">
        <v>47</v>
      </c>
      <c r="K19" s="131" t="s">
        <v>34</v>
      </c>
      <c r="L19" s="132" t="s">
        <v>193</v>
      </c>
      <c r="M19" s="133">
        <v>1</v>
      </c>
      <c r="N19" s="134">
        <v>0</v>
      </c>
      <c r="O19" s="134">
        <f>P19/M19</f>
        <v>1</v>
      </c>
      <c r="P19" s="133">
        <v>1</v>
      </c>
      <c r="Q19" s="134">
        <f t="shared" si="2"/>
        <v>1</v>
      </c>
      <c r="R19" s="135" t="s">
        <v>108</v>
      </c>
      <c r="S19" s="135" t="s">
        <v>109</v>
      </c>
      <c r="T19" s="136">
        <v>240</v>
      </c>
      <c r="U19" s="130" t="s">
        <v>317</v>
      </c>
    </row>
    <row r="20" spans="1:21" s="137" customFormat="1" ht="96">
      <c r="A20" s="130" t="s">
        <v>259</v>
      </c>
      <c r="B20" s="130" t="s">
        <v>36</v>
      </c>
      <c r="C20" s="131" t="s">
        <v>30</v>
      </c>
      <c r="D20" s="130" t="s">
        <v>191</v>
      </c>
      <c r="E20" s="130" t="s">
        <v>192</v>
      </c>
      <c r="F20" s="130" t="s">
        <v>338</v>
      </c>
      <c r="G20" s="130" t="s">
        <v>219</v>
      </c>
      <c r="H20" s="130" t="s">
        <v>65</v>
      </c>
      <c r="I20" s="132" t="s">
        <v>232</v>
      </c>
      <c r="J20" s="131" t="s">
        <v>47</v>
      </c>
      <c r="K20" s="131" t="s">
        <v>34</v>
      </c>
      <c r="L20" s="132" t="s">
        <v>193</v>
      </c>
      <c r="M20" s="133">
        <v>1</v>
      </c>
      <c r="N20" s="134">
        <v>0</v>
      </c>
      <c r="O20" s="134">
        <v>1</v>
      </c>
      <c r="P20" s="133">
        <v>1</v>
      </c>
      <c r="Q20" s="134">
        <v>1</v>
      </c>
      <c r="R20" s="135" t="s">
        <v>108</v>
      </c>
      <c r="S20" s="135" t="s">
        <v>109</v>
      </c>
      <c r="T20" s="136">
        <v>240</v>
      </c>
      <c r="U20" s="130" t="s">
        <v>316</v>
      </c>
    </row>
    <row r="21" spans="1:21" s="137" customFormat="1" ht="60">
      <c r="A21" s="130" t="s">
        <v>260</v>
      </c>
      <c r="B21" s="130" t="s">
        <v>36</v>
      </c>
      <c r="C21" s="131" t="s">
        <v>30</v>
      </c>
      <c r="D21" s="130" t="s">
        <v>31</v>
      </c>
      <c r="E21" s="130" t="s">
        <v>32</v>
      </c>
      <c r="F21" s="130" t="s">
        <v>326</v>
      </c>
      <c r="G21" s="130" t="s">
        <v>172</v>
      </c>
      <c r="H21" s="130" t="s">
        <v>173</v>
      </c>
      <c r="I21" s="132" t="s">
        <v>206</v>
      </c>
      <c r="J21" s="131" t="s">
        <v>52</v>
      </c>
      <c r="K21" s="131" t="s">
        <v>34</v>
      </c>
      <c r="L21" s="132" t="s">
        <v>35</v>
      </c>
      <c r="M21" s="133">
        <v>2.78</v>
      </c>
      <c r="N21" s="134">
        <v>0</v>
      </c>
      <c r="O21" s="134">
        <f>P21/M21</f>
        <v>0.3597122302158274</v>
      </c>
      <c r="P21" s="133">
        <v>1</v>
      </c>
      <c r="Q21" s="134">
        <f t="shared" si="2"/>
        <v>0.3597122302158274</v>
      </c>
      <c r="R21" s="135" t="s">
        <v>207</v>
      </c>
      <c r="S21" s="135" t="s">
        <v>208</v>
      </c>
      <c r="T21" s="136">
        <v>180</v>
      </c>
      <c r="U21" s="130" t="s">
        <v>220</v>
      </c>
    </row>
    <row r="22" spans="1:21" s="137" customFormat="1" ht="60">
      <c r="A22" s="130" t="s">
        <v>258</v>
      </c>
      <c r="B22" s="130" t="s">
        <v>36</v>
      </c>
      <c r="C22" s="131" t="s">
        <v>30</v>
      </c>
      <c r="D22" s="130" t="s">
        <v>31</v>
      </c>
      <c r="E22" s="130" t="s">
        <v>67</v>
      </c>
      <c r="F22" s="130" t="s">
        <v>196</v>
      </c>
      <c r="G22" s="130" t="s">
        <v>219</v>
      </c>
      <c r="H22" s="130" t="s">
        <v>65</v>
      </c>
      <c r="I22" s="132" t="s">
        <v>107</v>
      </c>
      <c r="J22" s="131" t="s">
        <v>52</v>
      </c>
      <c r="K22" s="131" t="s">
        <v>34</v>
      </c>
      <c r="L22" s="132" t="s">
        <v>35</v>
      </c>
      <c r="M22" s="133">
        <v>3.93392</v>
      </c>
      <c r="N22" s="134">
        <v>0</v>
      </c>
      <c r="O22" s="134">
        <f>P22/M22</f>
        <v>0.2882417537723187</v>
      </c>
      <c r="P22" s="133">
        <f>1.13392</f>
        <v>1.13392</v>
      </c>
      <c r="Q22" s="134">
        <f>N22+O22</f>
        <v>0.2882417537723187</v>
      </c>
      <c r="R22" s="135" t="s">
        <v>108</v>
      </c>
      <c r="S22" s="135" t="s">
        <v>109</v>
      </c>
      <c r="T22" s="136">
        <v>180</v>
      </c>
      <c r="U22" s="130" t="s">
        <v>220</v>
      </c>
    </row>
    <row r="23" spans="1:21" s="137" customFormat="1" ht="60">
      <c r="A23" s="130" t="s">
        <v>261</v>
      </c>
      <c r="B23" s="130" t="s">
        <v>36</v>
      </c>
      <c r="C23" s="131" t="s">
        <v>30</v>
      </c>
      <c r="D23" s="130" t="s">
        <v>31</v>
      </c>
      <c r="E23" s="130" t="s">
        <v>67</v>
      </c>
      <c r="F23" s="130" t="s">
        <v>327</v>
      </c>
      <c r="G23" s="130" t="s">
        <v>33</v>
      </c>
      <c r="H23" s="130" t="s">
        <v>62</v>
      </c>
      <c r="I23" s="132" t="s">
        <v>68</v>
      </c>
      <c r="J23" s="131" t="s">
        <v>52</v>
      </c>
      <c r="K23" s="131" t="s">
        <v>34</v>
      </c>
      <c r="L23" s="132" t="s">
        <v>35</v>
      </c>
      <c r="M23" s="133">
        <v>12.12</v>
      </c>
      <c r="N23" s="134">
        <v>0</v>
      </c>
      <c r="O23" s="134">
        <f>P23/M23</f>
        <v>0.16501650165016502</v>
      </c>
      <c r="P23" s="133">
        <f>2</f>
        <v>2</v>
      </c>
      <c r="Q23" s="134">
        <f>N23+O23</f>
        <v>0.16501650165016502</v>
      </c>
      <c r="R23" s="135" t="s">
        <v>101</v>
      </c>
      <c r="S23" s="135" t="s">
        <v>102</v>
      </c>
      <c r="T23" s="136">
        <v>240</v>
      </c>
      <c r="U23" s="130" t="s">
        <v>220</v>
      </c>
    </row>
    <row r="24" spans="1:21" s="137" customFormat="1" ht="12">
      <c r="A24" s="138"/>
      <c r="B24" s="139"/>
      <c r="C24" s="138"/>
      <c r="D24" s="139"/>
      <c r="E24" s="139"/>
      <c r="F24" s="140"/>
      <c r="G24" s="139"/>
      <c r="H24" s="141"/>
      <c r="I24" s="141"/>
      <c r="J24" s="138"/>
      <c r="K24" s="138"/>
      <c r="L24" s="142"/>
      <c r="M24" s="143"/>
      <c r="N24" s="144"/>
      <c r="O24" s="144"/>
      <c r="P24" s="143"/>
      <c r="Q24" s="144"/>
      <c r="R24" s="145"/>
      <c r="S24" s="145"/>
      <c r="T24" s="146"/>
      <c r="U24" s="139"/>
    </row>
    <row r="25" spans="1:21" s="151" customFormat="1" ht="22.5" customHeight="1">
      <c r="A25" s="223" t="s">
        <v>302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5"/>
      <c r="L25" s="147"/>
      <c r="M25" s="147"/>
      <c r="N25" s="147"/>
      <c r="O25" s="147"/>
      <c r="P25" s="148"/>
      <c r="Q25" s="147"/>
      <c r="R25" s="149">
        <f>681+3198+147+189+230+348+96+87+206+33+799+32+296+315+441+43+1737+655+655+155+84+61+11+35+10+210+1690+1303+677+562+655+436+287+369+955+114+818+410+434+926+320+727+70+82+172+65+152+62+56+152+62+56+740+54+152+62+56+295+308-((152+62+56)*2)</f>
        <v>23493</v>
      </c>
      <c r="S25" s="149">
        <f>722+3386+140+176+205+339+92+89+221+31+903+43+331+325+434+39+1891+693+812+168+96+60+14+37+8+212+1922+1276+676+548+693+435+298+354+928+109+788+414+397+873+264+671+74+68+219+72+176+66+59+176+66+59+850+49+176+66+59+361+308-((176+66+59)*2)</f>
        <v>24415</v>
      </c>
      <c r="T25" s="147"/>
      <c r="U25" s="150"/>
    </row>
    <row r="26" spans="1:21" s="137" customFormat="1" ht="27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7"/>
      <c r="M26" s="227"/>
      <c r="N26" s="227"/>
      <c r="O26" s="227"/>
      <c r="P26" s="227"/>
      <c r="Q26" s="227"/>
      <c r="R26" s="227"/>
      <c r="S26" s="227"/>
      <c r="T26" s="227"/>
      <c r="U26" s="227"/>
    </row>
    <row r="27" spans="1:21" s="137" customFormat="1" ht="60">
      <c r="A27" s="152" t="s">
        <v>307</v>
      </c>
      <c r="B27" s="152" t="s">
        <v>318</v>
      </c>
      <c r="C27" s="153" t="s">
        <v>303</v>
      </c>
      <c r="D27" s="152" t="s">
        <v>191</v>
      </c>
      <c r="E27" s="152" t="s">
        <v>319</v>
      </c>
      <c r="F27" s="154" t="s">
        <v>320</v>
      </c>
      <c r="G27" s="152" t="s">
        <v>308</v>
      </c>
      <c r="H27" s="154" t="s">
        <v>309</v>
      </c>
      <c r="I27" s="154" t="s">
        <v>308</v>
      </c>
      <c r="J27" s="153" t="s">
        <v>47</v>
      </c>
      <c r="K27" s="153" t="s">
        <v>34</v>
      </c>
      <c r="L27" s="155" t="s">
        <v>310</v>
      </c>
      <c r="M27" s="156">
        <f>COUNTA(L7:L23)-2</f>
        <v>15</v>
      </c>
      <c r="N27" s="157">
        <v>0</v>
      </c>
      <c r="O27" s="157">
        <f>P27/M27</f>
        <v>1</v>
      </c>
      <c r="P27" s="156">
        <f>M27</f>
        <v>15</v>
      </c>
      <c r="Q27" s="157">
        <f>N27+O27</f>
        <v>1</v>
      </c>
      <c r="R27" s="158"/>
      <c r="S27" s="158"/>
      <c r="T27" s="159"/>
      <c r="U27" s="152" t="s">
        <v>321</v>
      </c>
    </row>
    <row r="28" spans="1:21" s="137" customFormat="1" ht="12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s="166" customFormat="1" ht="22.5" customHeight="1">
      <c r="A29" s="229" t="s">
        <v>311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30"/>
      <c r="L29" s="160"/>
      <c r="M29" s="161"/>
      <c r="N29" s="219" t="s">
        <v>339</v>
      </c>
      <c r="O29" s="220"/>
      <c r="P29" s="220"/>
      <c r="Q29" s="162">
        <f>COUNTA(L7:L23)</f>
        <v>17</v>
      </c>
      <c r="R29" s="163"/>
      <c r="S29" s="163"/>
      <c r="T29" s="164"/>
      <c r="U29" s="165"/>
    </row>
    <row r="30" spans="1:21" s="122" customFormat="1" ht="11.25">
      <c r="A30" s="167"/>
      <c r="B30" s="129"/>
      <c r="C30" s="168"/>
      <c r="D30" s="129"/>
      <c r="E30" s="129"/>
      <c r="F30" s="129"/>
      <c r="G30" s="129"/>
      <c r="H30" s="129"/>
      <c r="I30" s="169"/>
      <c r="J30" s="168"/>
      <c r="K30" s="168"/>
      <c r="L30" s="169"/>
      <c r="N30" s="129"/>
      <c r="O30" s="129"/>
      <c r="P30" s="170"/>
      <c r="Q30" s="171"/>
      <c r="R30" s="172"/>
      <c r="S30" s="172"/>
      <c r="T30" s="173"/>
      <c r="U30" s="174"/>
    </row>
    <row r="31" spans="1:21" s="122" customFormat="1" ht="165" customHeight="1">
      <c r="A31" s="167"/>
      <c r="B31" s="129"/>
      <c r="C31" s="129"/>
      <c r="D31" s="129"/>
      <c r="E31" s="129"/>
      <c r="F31" s="129"/>
      <c r="G31" s="129"/>
      <c r="H31" s="129"/>
      <c r="I31" s="169"/>
      <c r="J31" s="168"/>
      <c r="K31" s="168"/>
      <c r="L31" s="169"/>
      <c r="N31" s="129"/>
      <c r="O31" s="129"/>
      <c r="P31" s="170"/>
      <c r="Q31" s="171"/>
      <c r="R31" s="172"/>
      <c r="S31" s="172"/>
      <c r="T31" s="173"/>
      <c r="U31" s="129"/>
    </row>
    <row r="32" spans="1:21" s="183" customFormat="1" ht="11.25">
      <c r="A32" s="175"/>
      <c r="B32" s="175"/>
      <c r="C32" s="176"/>
      <c r="D32" s="175"/>
      <c r="E32" s="175"/>
      <c r="F32" s="177"/>
      <c r="G32" s="175"/>
      <c r="H32" s="177"/>
      <c r="I32" s="177"/>
      <c r="J32" s="176"/>
      <c r="K32" s="176"/>
      <c r="L32" s="178"/>
      <c r="M32" s="179"/>
      <c r="N32" s="180"/>
      <c r="O32" s="180"/>
      <c r="P32" s="179"/>
      <c r="Q32" s="180"/>
      <c r="R32" s="181"/>
      <c r="S32" s="181"/>
      <c r="T32" s="182"/>
      <c r="U32" s="175"/>
    </row>
    <row r="33" spans="1:21" s="183" customFormat="1" ht="11.25">
      <c r="A33" s="175"/>
      <c r="B33" s="175"/>
      <c r="C33" s="184"/>
      <c r="D33" s="185"/>
      <c r="E33" s="185"/>
      <c r="F33" s="186"/>
      <c r="G33" s="175"/>
      <c r="H33" s="177"/>
      <c r="I33" s="177"/>
      <c r="J33" s="176"/>
      <c r="K33" s="176"/>
      <c r="L33" s="178"/>
      <c r="M33" s="179"/>
      <c r="N33" s="180"/>
      <c r="O33" s="180"/>
      <c r="P33" s="187"/>
      <c r="Q33" s="188"/>
      <c r="R33" s="189"/>
      <c r="S33" s="189"/>
      <c r="T33" s="190"/>
      <c r="U33" s="175"/>
    </row>
    <row r="34" spans="1:21" s="183" customFormat="1" ht="11.25" customHeight="1">
      <c r="A34" s="175"/>
      <c r="B34" s="175"/>
      <c r="C34" s="231" t="s">
        <v>322</v>
      </c>
      <c r="D34" s="231"/>
      <c r="E34" s="231"/>
      <c r="F34" s="231"/>
      <c r="G34" s="175"/>
      <c r="H34" s="177"/>
      <c r="I34" s="177"/>
      <c r="J34" s="176"/>
      <c r="K34" s="176"/>
      <c r="L34" s="178"/>
      <c r="M34" s="179"/>
      <c r="N34" s="180"/>
      <c r="O34" s="180"/>
      <c r="P34" s="232" t="s">
        <v>324</v>
      </c>
      <c r="Q34" s="232"/>
      <c r="R34" s="232"/>
      <c r="S34" s="232"/>
      <c r="T34" s="232"/>
      <c r="U34" s="175"/>
    </row>
    <row r="35" spans="1:21" s="183" customFormat="1" ht="11.25" customHeight="1">
      <c r="A35" s="175"/>
      <c r="B35" s="175"/>
      <c r="C35" s="216" t="s">
        <v>323</v>
      </c>
      <c r="D35" s="216"/>
      <c r="E35" s="216"/>
      <c r="F35" s="216"/>
      <c r="G35" s="175"/>
      <c r="H35" s="177"/>
      <c r="I35" s="177"/>
      <c r="J35" s="176"/>
      <c r="K35" s="176"/>
      <c r="L35" s="178"/>
      <c r="M35" s="179"/>
      <c r="N35" s="180"/>
      <c r="O35" s="180"/>
      <c r="P35" s="217" t="s">
        <v>325</v>
      </c>
      <c r="Q35" s="217"/>
      <c r="R35" s="217"/>
      <c r="S35" s="217"/>
      <c r="T35" s="217"/>
      <c r="U35" s="175"/>
    </row>
    <row r="36" spans="1:21" s="183" customFormat="1" ht="11.25">
      <c r="A36" s="175"/>
      <c r="B36" s="175"/>
      <c r="C36" s="191"/>
      <c r="D36" s="191"/>
      <c r="E36" s="191"/>
      <c r="F36" s="191"/>
      <c r="G36" s="175"/>
      <c r="H36" s="177"/>
      <c r="I36" s="177"/>
      <c r="J36" s="176"/>
      <c r="K36" s="176"/>
      <c r="L36" s="178"/>
      <c r="M36" s="179"/>
      <c r="N36" s="180"/>
      <c r="O36" s="180"/>
      <c r="P36" s="192"/>
      <c r="Q36" s="192"/>
      <c r="R36" s="192"/>
      <c r="S36" s="192"/>
      <c r="T36" s="192"/>
      <c r="U36" s="175"/>
    </row>
    <row r="37" spans="1:21" s="183" customFormat="1" ht="11.25">
      <c r="A37" s="175"/>
      <c r="B37" s="175"/>
      <c r="C37" s="191"/>
      <c r="D37" s="191"/>
      <c r="E37" s="191"/>
      <c r="F37" s="191"/>
      <c r="G37" s="175"/>
      <c r="H37" s="177"/>
      <c r="I37" s="177"/>
      <c r="J37" s="176"/>
      <c r="K37" s="176"/>
      <c r="L37" s="178"/>
      <c r="M37" s="179"/>
      <c r="N37" s="180"/>
      <c r="O37" s="180"/>
      <c r="P37" s="192"/>
      <c r="Q37" s="192"/>
      <c r="R37" s="192"/>
      <c r="S37" s="192"/>
      <c r="T37" s="192"/>
      <c r="U37" s="175"/>
    </row>
    <row r="38" spans="1:21" s="193" customFormat="1" ht="12.75">
      <c r="A38" s="222" t="s">
        <v>304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</row>
    <row r="39" spans="1:21" s="193" customFormat="1" ht="12.75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</row>
    <row r="41" ht="22.5" customHeight="1"/>
  </sheetData>
  <sheetProtection/>
  <autoFilter ref="A6:U23"/>
  <mergeCells count="23">
    <mergeCell ref="A38:U39"/>
    <mergeCell ref="A28:U28"/>
    <mergeCell ref="A29:K29"/>
    <mergeCell ref="N29:P29"/>
    <mergeCell ref="C34:F34"/>
    <mergeCell ref="P34:T34"/>
    <mergeCell ref="C35:F35"/>
    <mergeCell ref="P35:T35"/>
    <mergeCell ref="F5:F6"/>
    <mergeCell ref="G5:I5"/>
    <mergeCell ref="L5:M5"/>
    <mergeCell ref="O5:P5"/>
    <mergeCell ref="A25:K25"/>
    <mergeCell ref="A26:U26"/>
    <mergeCell ref="A1:U1"/>
    <mergeCell ref="A2:U2"/>
    <mergeCell ref="C4:E5"/>
    <mergeCell ref="F4:I4"/>
    <mergeCell ref="L4:Q4"/>
    <mergeCell ref="R4:S5"/>
    <mergeCell ref="T4:T6"/>
    <mergeCell ref="U4:U6"/>
    <mergeCell ref="A5:A6"/>
  </mergeCells>
  <printOptions horizontalCentered="1"/>
  <pageMargins left="0.1968503937007874" right="0.1968503937007874" top="0.1968503937007874" bottom="0.1968503937007874" header="0.03937007874015748" footer="0.03937007874015748"/>
  <pageSetup fitToHeight="4" fitToWidth="4" horizontalDpi="600" verticalDpi="600" orientation="landscape" paperSize="5" scale="53" r:id="rId1"/>
  <headerFooter scaleWithDoc="0" alignWithMargins="0">
    <oddFooter>&amp;C&amp;"Arial,Negrita"&amp;6Página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jnolasco</cp:lastModifiedBy>
  <cp:lastPrinted>2011-03-07T17:42:37Z</cp:lastPrinted>
  <dcterms:created xsi:type="dcterms:W3CDTF">2010-06-30T14:34:44Z</dcterms:created>
  <dcterms:modified xsi:type="dcterms:W3CDTF">2011-05-27T18:18:57Z</dcterms:modified>
  <cp:category/>
  <cp:version/>
  <cp:contentType/>
  <cp:contentStatus/>
</cp:coreProperties>
</file>